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4d23363dd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5cddd04e9cca4187"/>
    <x:sheet xmlns:r="http://schemas.openxmlformats.org/officeDocument/2006/relationships" name="Unit assumptions" sheetId="2" r:id="R3af11e9636ee47d1"/>
    <x:sheet xmlns:r="http://schemas.openxmlformats.org/officeDocument/2006/relationships" name="Unit record" sheetId="3" r:id="Rce85b770caaa4445"/>
    <x:sheet xmlns:r="http://schemas.openxmlformats.org/officeDocument/2006/relationships" name="Planning inputs" sheetId="4" r:id="Rec2ab4ab90384ad8"/>
    <x:sheet xmlns:r="http://schemas.openxmlformats.org/officeDocument/2006/relationships" name="Unit economics" sheetId="5" r:id="Rd08d96c7eab448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;(#,##0);-"/>
    <x:numFmt numFmtId="201" formatCode="$#,##0;($#,##0);-"/>
    <x:numFmt numFmtId="202" formatCode="0.0%"/>
    <x:numFmt numFmtId="203" formatCode="0.0"/>
    <x:numFmt numFmtId="204" formatCode="$#,##0"/>
    <x:numFmt numFmtId="205" formatCode="$#,##0.00;($#,##0.00);–"/>
    <x:numFmt numFmtId="206" formatCode="0"/>
    <x:numFmt numFmtId="207" formatCode="0.00"/>
    <x:numFmt numFmtId="208" formatCode="0%"/>
    <x:numFmt numFmtId="209" formatCode="$#,##0;($#,##0);&quot;-&quot;"/>
  </x:numFmts>
  <x:fonts count="1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666666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name val="Carlito"/>
    </x:font>
    <x:font>
      <x:b/>
      <x:sz val="10"/>
      <x:color rgb="FF000000"/>
      <x:name val="Arial"/>
    </x:font>
    <x:font>
      <x:i/>
      <x:sz val="10"/>
      <x:color rgb="FF000000"/>
      <x:name val="Arial"/>
    </x:font>
    <x:font>
      <x:sz val="10"/>
      <x:color rgb="FF000000"/>
      <x:name val="Arial"/>
    </x:font>
    <x:font>
      <x:sz val="10"/>
      <x:color rgb="FF008000"/>
      <x:name val="Arial"/>
    </x:font>
    <x:font>
      <x:b/>
      <x:sz val="10"/>
      <x:color rgb="FFFFFFFF"/>
      <x:name val="Arial"/>
    </x:font>
    <x:font>
      <x:sz val="10"/>
      <x:color rgb="FFFFFFFF"/>
      <x:name val="Arial"/>
    </x:font>
    <x:font>
      <x:b/>
      <x:sz val="10"/>
      <x:color rgb="FF172E43"/>
      <x:name val="Arial"/>
    </x:font>
    <x:font>
      <x:sz val="11"/>
      <x:color rgb="FFFFFFFF"/>
      <x:name val="Carlito"/>
    </x:font>
    <x:font>
      <x:sz val="11"/>
      <x:color rgb="FF203747"/>
      <x:name val="Arial"/>
    </x:font>
    <x:font>
      <x:b/>
      <x:sz val="16"/>
      <x:color rgb="FF203747"/>
      <x:name val="Arial"/>
    </x:font>
    <x:font>
      <x:b/>
      <x:sz val="11"/>
      <x:color rgb="FFFFFFFF"/>
      <x:name val="Arial"/>
    </x:font>
    <x:font>
      <x:b/>
      <x:sz val="11"/>
      <x:color rgb="FF203747"/>
      <x:name val="Arial"/>
    </x:font>
    <x:font>
      <x:sz val="11"/>
      <x:color rgb="FF0000FF"/>
      <x:name val="Arial"/>
    </x:font>
  </x:fonts>
  <x:fills count="1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F3F6F8"/>
      </x:patternFill>
    </x:fill>
    <x:fill>
      <x:patternFill patternType="solid">
        <x:fgColor rgb="FFF2F5F7"/>
      </x:patternFill>
    </x:fill>
    <x:fill>
      <x:patternFill patternType="solid">
        <x:fgColor rgb="FF172E43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174A6C"/>
      </x:patternFill>
    </x:fill>
    <x:fill>
      <x:patternFill patternType="solid">
        <x:fgColor rgb="FFFFF2CC"/>
      </x:patternFill>
    </x:fill>
    <x:fill>
      <x:patternFill patternType="solid">
        <x:fgColor rgb="FFE5EEF4"/>
      </x:patternFill>
    </x:fill>
    <x:fill>
      <x:patternFill patternType="solid">
        <x:fgColor rgb="FFEEF3F6"/>
      </x:patternFill>
    </x:fill>
    <x:fill>
      <x:patternFill patternType="solid">
        <x:fgColor rgb="FFD6E7F0"/>
      </x:patternFill>
    </x:fill>
    <x:fill>
      <x:patternFill patternType="solid">
        <x:fgColor rgb="FF174A6C"/>
      </x:patternFill>
    </x:fill>
    <x:fill>
      <x:patternFill patternType="solid">
        <x:fgColor rgb="FFFFF2CC"/>
      </x:patternFill>
    </x:fill>
  </x:fills>
  <x:borders count="9">
    <x:border/>
    <x:border>
      <x:left style="thin">
        <x:color rgb="FFB7C9D6"/>
      </x:left>
      <x:top style="thin">
        <x:color rgb="FFB7C9D6"/>
      </x:top>
    </x:border>
    <x:border>
      <x:top style="thin">
        <x:color rgb="FFB7C9D6"/>
      </x:top>
    </x:border>
    <x:border>
      <x:right style="thin">
        <x:color rgb="FFB7C9D6"/>
      </x:right>
      <x:top style="thin">
        <x:color rgb="FFB7C9D6"/>
      </x:top>
    </x:border>
    <x:border>
      <x:left style="thin">
        <x:color rgb="FFB7C9D6"/>
      </x:left>
    </x:border>
    <x:border>
      <x:right style="thin">
        <x:color rgb="FFB7C9D6"/>
      </x:right>
    </x:border>
    <x:border>
      <x:left style="thin">
        <x:color rgb="FFB7C9D6"/>
      </x:left>
      <x:bottom style="thin">
        <x:color rgb="FFB7C9D6"/>
      </x:bottom>
    </x:border>
    <x:border>
      <x:bottom style="thin">
        <x:color rgb="FFB7C9D6"/>
      </x:bottom>
    </x:border>
    <x:border>
      <x:right style="thin">
        <x:color rgb="FFB7C9D6"/>
      </x:right>
      <x:bottom style="thin">
        <x:color rgb="FFB7C9D6"/>
      </x:bottom>
    </x:border>
  </x:borders>
  <x:cellStyleXfs count="1">
    <x:xf numFmtId="0" fontId="0" fillId="0" borderId="0"/>
  </x:cellStyleXfs>
  <x:cellXfs count="18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201" fontId="4" fillId="4" borderId="0" xfId="0" applyNumberFormat="1" applyFont="1" applyFill="1" applyBorder="1"/>
    <x:xf numFmtId="202" fontId="4" fillId="4" borderId="0" xfId="0" applyNumberFormat="1" applyFont="1" applyFill="1" applyBorder="1"/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5" fillId="5" borderId="0" xfId="0" applyNumberFormat="1" applyFont="1" applyFill="1" applyBorder="1"/>
    <x:xf numFmtId="201" fontId="5" fillId="5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2" xfId="0" applyNumberFormat="1" applyFont="1" applyFill="1" applyBorder="1"/>
    <x:xf numFmtId="200" fontId="0" fillId="0" borderId="3" xfId="0" applyNumberFormat="1" applyFont="1" applyFill="1" applyBorder="1"/>
    <x:xf numFmtId="0" fontId="0" fillId="0" borderId="4" xfId="0" applyNumberFormat="1" applyFont="1" applyFill="1" applyBorder="1"/>
    <x:xf numFmtId="200" fontId="0" fillId="0" borderId="5" xfId="0" applyNumberFormat="1" applyFont="1" applyFill="1" applyBorder="1"/>
    <x:xf numFmtId="201" fontId="0" fillId="0" borderId="5" xfId="0" applyNumberFormat="1" applyFont="1" applyFill="1" applyBorder="1"/>
    <x:xf numFmtId="0" fontId="5" fillId="5" borderId="6" xfId="0" applyNumberFormat="1" applyFont="1" applyFill="1" applyBorder="1"/>
    <x:xf numFmtId="201" fontId="5" fillId="5" borderId="7" xfId="0" applyNumberFormat="1" applyFont="1" applyFill="1" applyBorder="1"/>
    <x:xf numFmtId="201" fontId="5" fillId="5" borderId="8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2" xfId="0" applyNumberFormat="1" applyFont="1" applyFill="1" applyBorder="1" applyAlignment="1">
      <x:alignment horizontal="center" wrapText="1"/>
    </x:xf>
    <x:xf numFmtId="0" fontId="3" fillId="3" borderId="3" xfId="0" applyNumberFormat="1" applyFont="1" applyFill="1" applyBorder="1" applyAlignment="1">
      <x:alignment horizontal="center" wrapText="1"/>
    </x:xf>
    <x:xf numFmtId="0" fontId="0" fillId="0" borderId="6" xfId="0" applyNumberFormat="1" applyFont="1" applyFill="1" applyBorder="1"/>
    <x:xf numFmtId="201" fontId="4" fillId="4" borderId="7" xfId="0" applyNumberFormat="1" applyFont="1" applyFill="1" applyBorder="1"/>
    <x:xf numFmtId="201" fontId="0" fillId="0" borderId="7" xfId="0" applyNumberFormat="1" applyFont="1" applyFill="1" applyBorder="1"/>
    <x:xf numFmtId="201" fontId="0" fillId="0" borderId="8" xfId="0" applyNumberFormat="1" applyFont="1" applyFill="1" applyBorder="1"/>
    <x:xf numFmtId="0" fontId="0" fillId="0" borderId="5" xfId="0" applyNumberFormat="1" applyFont="1" applyFill="1" applyBorder="1"/>
    <x:xf numFmtId="0" fontId="0" fillId="0" borderId="8" xfId="0" applyNumberFormat="1" applyFont="1" applyFill="1" applyBorder="1"/>
    <x:xf numFmtId="0" fontId="4" fillId="4" borderId="4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vertical="top" wrapText="1"/>
    </x:xf>
    <x:xf numFmtId="201" fontId="3" fillId="3" borderId="2" xfId="0" applyNumberFormat="1" applyFont="1" applyFill="1" applyBorder="1" applyAlignment="1">
      <x:alignment horizontal="center" wrapText="1"/>
    </x:xf>
    <x:xf numFmtId="201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3" fillId="3" borderId="2" xfId="0" applyNumberFormat="1" applyFont="1" applyFill="1" applyBorder="1" applyAlignment="1">
      <x:alignment horizontal="center"/>
    </x:xf>
    <x:xf numFmtId="0" fontId="3" fillId="3" borderId="3" xfId="0" applyNumberFormat="1" applyFont="1" applyFill="1" applyBorder="1" applyAlignment="1">
      <x:alignment horizontal="center"/>
    </x:xf>
    <x:xf numFmtId="0" fontId="4" fillId="4" borderId="5" xfId="0" applyNumberFormat="1" applyFont="1" applyFill="1" applyBorder="1"/>
    <x:xf numFmtId="0" fontId="4" fillId="4" borderId="8" xfId="0" applyNumberFormat="1" applyFont="1" applyFill="1" applyBorder="1"/>
    <x:xf numFmtId="203" fontId="4" fillId="4" borderId="0" xfId="0" applyNumberFormat="1" applyFont="1" applyFill="1" applyBorder="1"/>
    <x:xf numFmtId="203" fontId="4" fillId="4" borderId="7" xfId="0" applyNumberFormat="1" applyFont="1" applyFill="1" applyBorder="1"/>
    <x:xf numFmtId="201" fontId="4" fillId="4" borderId="5" xfId="0" applyNumberFormat="1" applyFont="1" applyFill="1" applyBorder="1"/>
    <x:xf numFmtId="201" fontId="4" fillId="4" borderId="8" xfId="0" applyNumberFormat="1" applyFont="1" applyFill="1" applyBorder="1"/>
    <x:xf numFmtId="0" fontId="6" fillId="2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 wrapText="1"/>
    </x:xf>
    <x:xf numFmtId="200" fontId="8" fillId="4" borderId="0" xfId="0" applyNumberFormat="1" applyFont="1" applyFill="1" applyBorder="1"/>
    <x:xf numFmtId="201" fontId="8" fillId="4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202" fontId="8" fillId="4" borderId="0" xfId="0" applyNumberFormat="1" applyFont="1" applyFill="1" applyBorder="1"/>
    <x:xf numFmtId="200" fontId="8" fillId="0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8" fillId="0" borderId="1" xfId="0" applyNumberFormat="1" applyFont="1" applyFill="1" applyBorder="1"/>
    <x:xf numFmtId="200" fontId="8" fillId="0" borderId="2" xfId="0" applyNumberFormat="1" applyFont="1" applyFill="1" applyBorder="1"/>
    <x:xf numFmtId="200" fontId="8" fillId="0" borderId="3" xfId="0" applyNumberFormat="1" applyFont="1" applyFill="1" applyBorder="1"/>
    <x:xf numFmtId="0" fontId="8" fillId="0" borderId="4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5" xfId="0" applyNumberFormat="1" applyFont="1" applyFill="1" applyBorder="1" applyAlignment="1">
      <x:alignment vertical="top" wrapText="1"/>
    </x:xf>
    <x:xf numFmtId="0" fontId="8" fillId="0" borderId="4" xfId="0" applyNumberFormat="1" applyFont="1" applyFill="1" applyBorder="1"/>
    <x:xf numFmtId="200" fontId="8" fillId="0" borderId="5" xfId="0" applyNumberFormat="1" applyFont="1" applyFill="1" applyBorder="1"/>
    <x:xf numFmtId="201" fontId="8" fillId="0" borderId="0" xfId="0" applyNumberFormat="1" applyFont="1" applyFill="1" applyBorder="1"/>
    <x:xf numFmtId="201" fontId="8" fillId="0" borderId="5" xfId="0" applyNumberFormat="1" applyFont="1" applyFill="1" applyBorder="1"/>
    <x:xf numFmtId="0" fontId="8" fillId="0" borderId="6" xfId="0" applyNumberFormat="1" applyFont="1" applyFill="1" applyBorder="1" applyAlignment="1">
      <x:alignment vertical="top" wrapText="1"/>
    </x:xf>
    <x:xf numFmtId="0" fontId="8" fillId="0" borderId="7" xfId="0" applyNumberFormat="1" applyFont="1" applyFill="1" applyBorder="1" applyAlignment="1">
      <x:alignment vertical="top" wrapText="1"/>
    </x:xf>
    <x:xf numFmtId="0" fontId="8" fillId="0" borderId="8" xfId="0" applyNumberFormat="1" applyFont="1" applyFill="1" applyBorder="1" applyAlignment="1">
      <x:alignment vertical="top" wrapText="1"/>
    </x:xf>
    <x:xf numFmtId="0" fontId="6" fillId="5" borderId="6" xfId="0" applyNumberFormat="1" applyFont="1" applyFill="1" applyBorder="1"/>
    <x:xf numFmtId="201" fontId="6" fillId="5" borderId="7" xfId="0" applyNumberFormat="1" applyFont="1" applyFill="1" applyBorder="1"/>
    <x:xf numFmtId="201" fontId="6" fillId="5" borderId="8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0" fontId="6" fillId="3" borderId="2" xfId="0" applyNumberFormat="1" applyFont="1" applyFill="1" applyBorder="1" applyAlignment="1">
      <x:alignment horizontal="center"/>
    </x:xf>
    <x:xf numFmtId="0" fontId="6" fillId="3" borderId="3" xfId="0" applyNumberFormat="1" applyFont="1" applyFill="1" applyBorder="1" applyAlignment="1">
      <x:alignment horizontal="center"/>
    </x:xf>
    <x:xf numFmtId="203" fontId="8" fillId="4" borderId="0" xfId="0" applyNumberFormat="1" applyFont="1" applyFill="1" applyBorder="1"/>
    <x:xf numFmtId="201" fontId="8" fillId="4" borderId="5" xfId="0" applyNumberFormat="1" applyFont="1" applyFill="1" applyBorder="1"/>
    <x:xf numFmtId="0" fontId="8" fillId="0" borderId="6" xfId="0" applyNumberFormat="1" applyFont="1" applyFill="1" applyBorder="1"/>
    <x:xf numFmtId="203" fontId="8" fillId="4" borderId="7" xfId="0" applyNumberFormat="1" applyFont="1" applyFill="1" applyBorder="1"/>
    <x:xf numFmtId="201" fontId="8" fillId="4" borderId="7" xfId="0" applyNumberFormat="1" applyFont="1" applyFill="1" applyBorder="1"/>
    <x:xf numFmtId="201" fontId="8" fillId="4" borderId="8" xfId="0" applyNumberFormat="1" applyFont="1" applyFill="1" applyBorder="1"/>
    <x:xf numFmtId="0" fontId="6" fillId="3" borderId="1" xfId="0" applyNumberFormat="1" applyFont="1" applyFill="1" applyBorder="1" applyAlignment="1">
      <x:alignment horizontal="center" wrapText="1"/>
    </x:xf>
    <x:xf numFmtId="0" fontId="6" fillId="3" borderId="2" xfId="0" applyNumberFormat="1" applyFont="1" applyFill="1" applyBorder="1" applyAlignment="1">
      <x:alignment horizontal="center" wrapText="1"/>
    </x:xf>
    <x:xf numFmtId="0" fontId="6" fillId="3" borderId="3" xfId="0" applyNumberFormat="1" applyFont="1" applyFill="1" applyBorder="1" applyAlignment="1">
      <x:alignment horizontal="center" wrapText="1"/>
    </x:xf>
    <x:xf numFmtId="201" fontId="8" fillId="0" borderId="7" xfId="0" applyNumberFormat="1" applyFont="1" applyFill="1" applyBorder="1"/>
    <x:xf numFmtId="201" fontId="8" fillId="0" borderId="8" xfId="0" applyNumberFormat="1" applyFont="1" applyFill="1" applyBorder="1"/>
    <x:xf numFmtId="201" fontId="8" fillId="0" borderId="2" xfId="0" applyNumberFormat="1" applyFont="1" applyFill="1" applyBorder="1"/>
    <x:xf numFmtId="0" fontId="8" fillId="0" borderId="3" xfId="0" applyNumberFormat="1" applyFont="1" applyFill="1" applyBorder="1"/>
    <x:xf numFmtId="201" fontId="6" fillId="3" borderId="2" xfId="0" applyNumberFormat="1" applyFont="1" applyFill="1" applyBorder="1" applyAlignment="1">
      <x:alignment horizontal="center" wrapText="1"/>
    </x:xf>
    <x:xf numFmtId="0" fontId="8" fillId="0" borderId="8" xfId="0" applyNumberFormat="1" applyFont="1" applyFill="1" applyBorder="1"/>
    <x:xf numFmtId="0" fontId="8" fillId="0" borderId="5" xfId="0" applyNumberFormat="1" applyFont="1" applyFill="1" applyBorder="1"/>
    <x:xf numFmtId="0" fontId="8" fillId="4" borderId="4" xfId="0" applyNumberFormat="1" applyFont="1" applyFill="1" applyBorder="1"/>
    <x:xf numFmtId="0" fontId="8" fillId="4" borderId="0" xfId="0" applyNumberFormat="1" applyFont="1" applyFill="1" applyBorder="1"/>
    <x:xf numFmtId="0" fontId="8" fillId="4" borderId="6" xfId="0" applyNumberFormat="1" applyFont="1" applyFill="1" applyBorder="1"/>
    <x:xf numFmtId="0" fontId="8" fillId="4" borderId="7" xfId="0" applyNumberFormat="1" applyFont="1" applyFill="1" applyBorder="1"/>
    <x:xf numFmtId="0" fontId="8" fillId="6" borderId="0" xfId="0" applyNumberFormat="1" applyFont="1" applyFill="1" applyBorder="1" applyAlignment="1">
      <x:alignment vertical="top" wrapText="1"/>
    </x:xf>
    <x:xf numFmtId="201" fontId="9" fillId="4" borderId="0" xfId="0" applyNumberFormat="1" applyFont="1" applyFill="1" applyBorder="1"/>
    <x:xf numFmtId="201" fontId="9" fillId="4" borderId="5" xfId="0" applyNumberFormat="1" applyFont="1" applyFill="1" applyBorder="1"/>
    <x:xf numFmtId="0" fontId="10" fillId="3" borderId="0" xfId="0" applyNumberFormat="1" applyFont="1" applyFill="1" applyBorder="1" applyAlignment="1">
      <x:alignment horizontal="center" wrapText="1"/>
    </x:xf>
    <x:xf numFmtId="0" fontId="11" fillId="0" borderId="0" xfId="0" applyNumberFormat="1" applyFont="1" applyFill="1" applyBorder="1"/>
    <x:xf numFmtId="0" fontId="10" fillId="3" borderId="1" xfId="0" applyNumberFormat="1" applyFont="1" applyFill="1" applyBorder="1" applyAlignment="1">
      <x:alignment horizontal="center" wrapText="1"/>
    </x:xf>
    <x:xf numFmtId="0" fontId="10" fillId="3" borderId="2" xfId="0" applyNumberFormat="1" applyFont="1" applyFill="1" applyBorder="1" applyAlignment="1">
      <x:alignment horizontal="center" wrapText="1"/>
    </x:xf>
    <x:xf numFmtId="0" fontId="10" fillId="3" borderId="3" xfId="0" applyNumberFormat="1" applyFont="1" applyFill="1" applyBorder="1" applyAlignment="1">
      <x:alignment horizontal="center" wrapText="1"/>
    </x:xf>
    <x:xf numFmtId="0" fontId="11" fillId="0" borderId="0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horizontal="center" wrapText="1"/>
    </x:xf>
    <x:xf numFmtId="201" fontId="6" fillId="7" borderId="2" xfId="0" applyNumberFormat="1" applyFont="1" applyFill="1" applyBorder="1" applyAlignment="1">
      <x:alignment horizontal="center" wrapText="1"/>
    </x:xf>
    <x:xf numFmtId="0" fontId="6" fillId="7" borderId="3" xfId="0" applyNumberFormat="1" applyFont="1" applyFill="1" applyBorder="1" applyAlignment="1">
      <x:alignment horizontal="center" wrapText="1"/>
    </x:xf>
    <x:xf numFmtId="0" fontId="12" fillId="7" borderId="1" xfId="0" applyNumberFormat="1" applyFont="1" applyFill="1" applyBorder="1" applyAlignment="1">
      <x:alignment horizontal="center" wrapText="1"/>
    </x:xf>
    <x:xf numFmtId="201" fontId="12" fillId="7" borderId="2" xfId="0" applyNumberFormat="1" applyFont="1" applyFill="1" applyBorder="1" applyAlignment="1">
      <x:alignment horizontal="center" wrapText="1"/>
    </x:xf>
    <x:xf numFmtId="0" fontId="12" fillId="7" borderId="3" xfId="0" applyNumberFormat="1" applyFont="1" applyFill="1" applyBorder="1" applyAlignment="1">
      <x:alignment horizontal="center" wrapText="1"/>
    </x:xf>
    <x:xf numFmtId="0" fontId="0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4" fontId="0" fillId="9" borderId="0" xfId="0" applyNumberFormat="1" applyFont="1" applyFill="1" applyBorder="1" applyAlignment="1">
      <x:alignment wrapText="1"/>
    </x:xf>
    <x:xf numFmtId="204" fontId="4" fillId="9" borderId="0" xfId="0" applyNumberFormat="1" applyFont="1" applyFill="1" applyBorder="1" applyAlignment="1">
      <x:alignment wrapText="1"/>
    </x:xf>
    <x:xf numFmtId="0" fontId="11" fillId="10" borderId="0" xfId="0" applyNumberFormat="1" applyFont="1" applyFill="1" applyBorder="1" applyAlignment="1">
      <x:alignment wrapText="1"/>
    </x:xf>
    <x:xf numFmtId="0" fontId="10" fillId="1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/>
    <x:xf numFmtId="0" fontId="15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11" borderId="0" xfId="0" applyNumberFormat="1" applyFont="1" applyFill="1" applyBorder="1"/>
    <x:xf numFmtId="0" fontId="16" fillId="11" borderId="0" xfId="0" applyNumberFormat="1" applyFont="1" applyFill="1" applyBorder="1"/>
    <x:xf numFmtId="0" fontId="16" fillId="11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/>
    <x:xf numFmtId="0" fontId="14" fillId="13" borderId="0" xfId="0" applyNumberFormat="1" applyFont="1" applyFill="1" applyBorder="1"/>
    <x:xf numFmtId="205" fontId="14" fillId="12" borderId="0" xfId="0" applyNumberFormat="1" applyFont="1" applyFill="1" applyBorder="1"/>
    <x:xf numFmtId="205" fontId="14" fillId="0" borderId="0" xfId="0" applyNumberFormat="1" applyFont="1" applyFill="1" applyBorder="1"/>
    <x:xf numFmtId="205" fontId="14" fillId="13" borderId="0" xfId="0" applyNumberFormat="1" applyFont="1" applyFill="1" applyBorder="1"/>
    <x:xf numFmtId="206" fontId="14" fillId="12" borderId="0" xfId="0" applyNumberFormat="1" applyFont="1" applyFill="1" applyBorder="1"/>
    <x:xf numFmtId="206" fontId="14" fillId="0" borderId="0" xfId="0" applyNumberFormat="1" applyFont="1" applyFill="1" applyBorder="1"/>
    <x:xf numFmtId="206" fontId="14" fillId="13" borderId="0" xfId="0" applyNumberFormat="1" applyFont="1" applyFill="1" applyBorder="1"/>
    <x:xf numFmtId="203" fontId="14" fillId="12" borderId="0" xfId="0" applyNumberFormat="1" applyFont="1" applyFill="1" applyBorder="1"/>
    <x:xf numFmtId="203" fontId="14" fillId="0" borderId="0" xfId="0" applyNumberFormat="1" applyFont="1" applyFill="1" applyBorder="1"/>
    <x:xf numFmtId="203" fontId="14" fillId="13" borderId="0" xfId="0" applyNumberFormat="1" applyFont="1" applyFill="1" applyBorder="1"/>
    <x:xf numFmtId="0" fontId="17" fillId="13" borderId="0" xfId="0" applyNumberFormat="1" applyFont="1" applyFill="1" applyBorder="1"/>
    <x:xf numFmtId="0" fontId="18" fillId="12" borderId="0" xfId="0" applyNumberFormat="1" applyFont="1" applyFill="1" applyBorder="1"/>
    <x:xf numFmtId="207" fontId="17" fillId="13" borderId="0" xfId="0" applyNumberFormat="1" applyFont="1" applyFill="1" applyBorder="1"/>
    <x:xf numFmtId="207" fontId="18" fillId="12" borderId="0" xfId="0" applyNumberFormat="1" applyFont="1" applyFill="1" applyBorder="1"/>
    <x:xf numFmtId="205" fontId="17" fillId="13" borderId="0" xfId="0" applyNumberFormat="1" applyFont="1" applyFill="1" applyBorder="1"/>
    <x:xf numFmtId="205" fontId="18" fillId="12" borderId="0" xfId="0" applyNumberFormat="1" applyFont="1" applyFill="1" applyBorder="1"/>
    <x:xf numFmtId="208" fontId="17" fillId="13" borderId="0" xfId="0" applyNumberFormat="1" applyFont="1" applyFill="1" applyBorder="1"/>
    <x:xf numFmtId="208" fontId="18" fillId="12" borderId="0" xfId="0" applyNumberFormat="1" applyFont="1" applyFill="1" applyBorder="1"/>
    <x:xf numFmtId="207" fontId="14" fillId="0" borderId="0" xfId="0" applyNumberFormat="1" applyFont="1" applyFill="1" applyBorder="1"/>
    <x:xf numFmtId="208" fontId="14" fillId="0" borderId="0" xfId="0" applyNumberFormat="1" applyFont="1" applyFill="1" applyBorder="1"/>
    <x:xf numFmtId="0" fontId="14" fillId="14" borderId="0" xfId="0" applyNumberFormat="1" applyFont="1" applyFill="1" applyBorder="1"/>
    <x:xf numFmtId="205" fontId="14" fillId="14" borderId="0" xfId="0" applyNumberFormat="1" applyFont="1" applyFill="1" applyBorder="1"/>
    <x:xf numFmtId="0" fontId="17" fillId="14" borderId="0" xfId="0" applyNumberFormat="1" applyFont="1" applyFill="1" applyBorder="1"/>
    <x:xf numFmtId="205" fontId="17" fillId="14" borderId="0" xfId="0" applyNumberFormat="1" applyFont="1" applyFill="1" applyBorder="1"/>
    <x:xf numFmtId="0" fontId="14" fillId="15" borderId="0" xfId="0" applyNumberFormat="1" applyFont="1" applyFill="1" applyBorder="1"/>
    <x:xf numFmtId="205" fontId="14" fillId="15" borderId="0" xfId="0" applyNumberFormat="1" applyFont="1" applyFill="1" applyBorder="1"/>
    <x:xf numFmtId="0" fontId="17" fillId="15" borderId="0" xfId="0" applyNumberFormat="1" applyFont="1" applyFill="1" applyBorder="1"/>
    <x:xf numFmtId="205" fontId="17" fillId="15" borderId="0" xfId="0" applyNumberFormat="1" applyFont="1" applyFill="1" applyBorder="1"/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0" xfId="0" applyNumberFormat="1" applyFont="1" applyFill="1" applyBorder="1" applyAlignment="1">
      <x:alignment wrapText="1"/>
    </x:xf>
    <x:xf numFmtId="209" fontId="0" fillId="0" borderId="0" xfId="0" applyNumberFormat="1" applyFont="1" applyFill="1" applyBorder="1"/>
    <x:xf numFmtId="209" fontId="0" fillId="17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1e30f89a54fd3" /><Relationship Type="http://schemas.openxmlformats.org/officeDocument/2006/relationships/theme" Target="/xl/theme/theme1.xml" Id="Rebf1ee1a27d4411c" /><Relationship Type="http://schemas.openxmlformats.org/officeDocument/2006/relationships/sharedStrings" Target="/xl/sharedStrings.xml" Id="Re29fb18e72314317" /><Relationship Type="http://schemas.openxmlformats.org/officeDocument/2006/relationships/worksheet" Target="/xl/worksheets/sheet1.xml" Id="R5cddd04e9cca4187" /><Relationship Type="http://schemas.openxmlformats.org/officeDocument/2006/relationships/worksheet" Target="/xl/worksheets/sheet2.xml" Id="R3af11e9636ee47d1" /><Relationship Type="http://schemas.openxmlformats.org/officeDocument/2006/relationships/worksheet" Target="/xl/worksheets/sheet3.xml" Id="Rce85b770caaa4445" /><Relationship Type="http://schemas.openxmlformats.org/officeDocument/2006/relationships/worksheet" Target="/xl/worksheets/sheet4.xml" Id="Rec2ab4ab90384ad8" /><Relationship Type="http://schemas.openxmlformats.org/officeDocument/2006/relationships/worksheet" Target="/xl/worksheets/sheet5.xml" Id="Rd08d96c7eab448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A6C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42" hidden="0" customWidth="1"/>
    <x:col min="3" max="3" width="1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2" ht="23" customHeight="1">
      <x:c r="B2" s="142" t="str">
        <x:v>EDM Overhaulers | monthly planning</x:v>
      </x:c>
      <x:c r="C2" s="141"/>
      <x:c r="D2" s="141"/>
      <x:c r="E2" s="141"/>
      <x:c r="F2" s="141"/>
      <x:c r="G2" s="141"/>
      <x:c r="H2" s="141"/>
      <x:c r="I2"/>
      <x:c r="J2"/>
      <x:c r="K2"/>
      <x:c r="L2"/>
      <x:c r="M2"/>
      <x:c r="N2"/>
    </x:row>
    <x:row r="3" ht="23" customHeight="1">
      <x:c r="B3" s="141"/>
      <x:c r="C3" s="141"/>
      <x:c r="D3" s="141"/>
      <x:c r="E3" s="141"/>
      <x:c r="F3" s="141"/>
      <x:c r="G3" s="141"/>
      <x:c r="H3" s="141"/>
      <x:c r="I3"/>
      <x:c r="J3"/>
      <x:c r="K3"/>
      <x:c r="L3"/>
      <x:c r="M3"/>
      <x:c r="N3"/>
    </x:row>
    <x:row r="4" ht="23" customHeight="1">
      <x:c r="B4" s="141" t="str">
        <x:v>Case selected</x:v>
      </x:c>
      <x:c r="C4" s="141"/>
      <x:c r="D4" s="141" t="str">
        <x:f>'Planning inputs'!D4</x:f>
        <x:v>Working</x:v>
      </x:c>
      <x:c r="E4" s="141"/>
      <x:c r="F4" s="141"/>
      <x:c r="G4" s="141"/>
      <x:c r="H4" s="141"/>
      <x:c r="I4"/>
      <x:c r="J4"/>
      <x:c r="K4"/>
      <x:c r="L4"/>
      <x:c r="M4"/>
      <x:c r="N4"/>
    </x:row>
    <x:row r="5" ht="23" customHeight="1">
      <x:c r="B5" s="141" t="str">
        <x:v>Average month within each operating year; not promised sales.</x:v>
      </x:c>
      <x:c r="C5" s="141"/>
      <x:c r="D5" s="141"/>
      <x:c r="E5" s="141"/>
      <x:c r="F5" s="141"/>
      <x:c r="G5" s="141"/>
      <x:c r="H5" s="141"/>
      <x:c r="I5"/>
      <x:c r="J5"/>
      <x:c r="K5"/>
      <x:c r="L5"/>
      <x:c r="M5"/>
      <x:c r="N5"/>
    </x:row>
    <x:row r="6" ht="23" customHeight="1">
      <x:c r="B6" s="141"/>
      <x:c r="C6" s="141"/>
      <x:c r="D6" s="141"/>
      <x:c r="E6" s="141"/>
      <x:c r="F6" s="141"/>
      <x:c r="G6" s="141"/>
      <x:c r="H6" s="141"/>
      <x:c r="I6"/>
      <x:c r="J6"/>
      <x:c r="K6"/>
      <x:c r="L6"/>
      <x:c r="M6"/>
      <x:c r="N6"/>
    </x:row>
    <x:row r="7" ht="23" customHeight="1">
      <x:c r="B7" s="145" t="str">
        <x:v>Monthly measure</x:v>
      </x:c>
      <x:c r="C7" s="145" t="str">
        <x:v>Unit</x:v>
      </x:c>
      <x:c r="D7" s="145" t="str">
        <x:v>Year 1</x:v>
      </x:c>
      <x:c r="E7" s="145" t="str">
        <x:v>Year 2</x:v>
      </x:c>
      <x:c r="F7" s="145" t="str">
        <x:v>Year 3</x:v>
      </x:c>
      <x:c r="G7" s="145" t="str">
        <x:v>Year 4</x:v>
      </x:c>
      <x:c r="H7" s="145" t="str">
        <x:v>Year 5</x:v>
      </x:c>
      <x:c r="I7"/>
      <x:c r="J7"/>
      <x:c r="K7"/>
      <x:c r="L7"/>
      <x:c r="M7"/>
      <x:c r="N7"/>
    </x:row>
    <x:row r="8" ht="23" customHeight="1">
      <x:c r="B8" s="141" t="str">
        <x:v>Volume</x:v>
      </x:c>
      <x:c r="C8" s="141" t="str">
        <x:v>units</x:v>
      </x:c>
      <x:c r="D8" s="166" t="n">
        <x:f>'Planning inputs'!D7</x:f>
        <x:v>4</x:v>
      </x:c>
      <x:c r="E8" s="166" t="n">
        <x:f>'Planning inputs'!E7</x:f>
        <x:v>6</x:v>
      </x:c>
      <x:c r="F8" s="166" t="n">
        <x:f>'Planning inputs'!F7</x:f>
        <x:v>8</x:v>
      </x:c>
      <x:c r="G8" s="166" t="n">
        <x:f>'Planning inputs'!G7</x:f>
        <x:v>10</x:v>
      </x:c>
      <x:c r="H8" s="166" t="n">
        <x:f>'Planning inputs'!H7</x:f>
        <x:v>12</x:v>
      </x:c>
      <x:c r="I8"/>
      <x:c r="J8"/>
      <x:c r="K8"/>
      <x:c r="L8"/>
      <x:c r="M8"/>
      <x:c r="N8"/>
    </x:row>
    <x:row r="9" ht="23" customHeight="1">
      <x:c r="B9" s="141" t="str">
        <x:v>Price per unit / client</x:v>
      </x:c>
      <x:c r="C9" s="141" t="str">
        <x:v>USD</x:v>
      </x:c>
      <x:c r="D9" s="150" t="n">
        <x:f>'Planning inputs'!D12</x:f>
        <x:v>6825</x:v>
      </x:c>
      <x:c r="E9" s="150" t="n">
        <x:f>'Planning inputs'!E12</x:f>
        <x:v>6825</x:v>
      </x:c>
      <x:c r="F9" s="150" t="n">
        <x:f>'Planning inputs'!F12</x:f>
        <x:v>6825</x:v>
      </x:c>
      <x:c r="G9" s="150" t="n">
        <x:f>'Planning inputs'!G12</x:f>
        <x:v>6825</x:v>
      </x:c>
      <x:c r="H9" s="150" t="n">
        <x:f>'Planning inputs'!H12</x:f>
        <x:v>6825</x:v>
      </x:c>
      <x:c r="I9"/>
      <x:c r="J9"/>
      <x:c r="K9"/>
      <x:c r="L9"/>
      <x:c r="M9"/>
      <x:c r="N9"/>
    </x:row>
    <x:row r="10" ht="23" customHeight="1">
      <x:c r="B10" s="141" t="str">
        <x:v>Delivery cash per unit</x:v>
      </x:c>
      <x:c r="C10" s="141" t="str">
        <x:v>USD</x:v>
      </x:c>
      <x:c r="D10" s="150" t="n">
        <x:f>'Planning inputs'!D17</x:f>
        <x:v>4500</x:v>
      </x:c>
      <x:c r="E10" s="150" t="n">
        <x:f>'Planning inputs'!E17</x:f>
        <x:v>4500</x:v>
      </x:c>
      <x:c r="F10" s="150" t="n">
        <x:f>'Planning inputs'!F17</x:f>
        <x:v>4500</x:v>
      </x:c>
      <x:c r="G10" s="150" t="n">
        <x:f>'Planning inputs'!G17</x:f>
        <x:v>4500</x:v>
      </x:c>
      <x:c r="H10" s="150" t="n">
        <x:f>'Planning inputs'!H17</x:f>
        <x:v>4500</x:v>
      </x:c>
      <x:c r="I10"/>
      <x:c r="J10"/>
      <x:c r="K10"/>
      <x:c r="L10"/>
      <x:c r="M10"/>
      <x:c r="N10"/>
    </x:row>
    <x:row r="11" ht="23" customHeight="1">
      <x:c r="B11" s="141" t="str">
        <x:v>Delivery hours per unit</x:v>
      </x:c>
      <x:c r="C11" s="141" t="str">
        <x:v>hours</x:v>
      </x:c>
      <x:c r="D11" s="166" t="n">
        <x:f>'Planning inputs'!D22</x:f>
        <x:v>22.5</x:v>
      </x:c>
      <x:c r="E11" s="166" t="n">
        <x:f>'Planning inputs'!E22</x:f>
        <x:v>22.5</x:v>
      </x:c>
      <x:c r="F11" s="166" t="n">
        <x:f>'Planning inputs'!F22</x:f>
        <x:v>22.5</x:v>
      </x:c>
      <x:c r="G11" s="166" t="n">
        <x:f>'Planning inputs'!G22</x:f>
        <x:v>22.5</x:v>
      </x:c>
      <x:c r="H11" s="166" t="n">
        <x:f>'Planning inputs'!H22</x:f>
        <x:v>22.5</x:v>
      </x:c>
      <x:c r="I11"/>
      <x:c r="J11"/>
      <x:c r="K11"/>
      <x:c r="L11"/>
      <x:c r="M11"/>
      <x:c r="N11"/>
    </x:row>
    <x:row r="12" ht="23" customHeight="1">
      <x:c r="B12" s="141" t="str">
        <x:v>Work value per hour</x:v>
      </x:c>
      <x:c r="C12" s="141" t="str">
        <x:v>USD/hour</x:v>
      </x:c>
      <x:c r="D12" s="150" t="n">
        <x:f>'Planning inputs'!D27</x:f>
        <x:v>50</x:v>
      </x:c>
      <x:c r="E12" s="150" t="n">
        <x:f>'Planning inputs'!E27</x:f>
        <x:v>50</x:v>
      </x:c>
      <x:c r="F12" s="150" t="n">
        <x:f>'Planning inputs'!F27</x:f>
        <x:v>50</x:v>
      </x:c>
      <x:c r="G12" s="150" t="n">
        <x:f>'Planning inputs'!G27</x:f>
        <x:v>50</x:v>
      </x:c>
      <x:c r="H12" s="150" t="n">
        <x:f>'Planning inputs'!H27</x:f>
        <x:v>50</x:v>
      </x:c>
      <x:c r="I12"/>
      <x:c r="J12"/>
      <x:c r="K12"/>
      <x:c r="L12"/>
      <x:c r="M12"/>
      <x:c r="N12"/>
    </x:row>
    <x:row r="13" ht="23" customHeight="1">
      <x:c r="B13" s="141" t="str">
        <x:v>Paid share of work</x:v>
      </x:c>
      <x:c r="C13" s="141" t="str">
        <x:v>fraction</x:v>
      </x:c>
      <x:c r="D13" s="167" t="n">
        <x:f>'Planning inputs'!D32</x:f>
        <x:v>0</x:v>
      </x:c>
      <x:c r="E13" s="167" t="n">
        <x:f>'Planning inputs'!E32</x:f>
        <x:v>0.07284768211920534</x:v>
      </x:c>
      <x:c r="F13" s="167" t="n">
        <x:f>'Planning inputs'!F32</x:f>
        <x:v>0.30000000000000004</x:v>
      </x:c>
      <x:c r="G13" s="167" t="n">
        <x:f>'Planning inputs'!G32</x:f>
        <x:v>0.43775100401606426</x:v>
      </x:c>
      <x:c r="H13" s="167" t="n">
        <x:f>'Planning inputs'!H32</x:f>
        <x:v>0.5302013422818792</x:v>
      </x:c>
      <x:c r="I13"/>
      <x:c r="J13"/>
      <x:c r="K13"/>
      <x:c r="L13"/>
      <x:c r="M13"/>
      <x:c r="N13"/>
    </x:row>
    <x:row r="14" ht="23" customHeight="1">
      <x:c r="B14" s="141" t="str">
        <x:v>Fixed overhead per month</x:v>
      </x:c>
      <x:c r="C14" s="141" t="str">
        <x:v>USD</x:v>
      </x:c>
      <x:c r="D14" s="150" t="n">
        <x:f>'Planning inputs'!D37</x:f>
        <x:v>1000</x:v>
      </x:c>
      <x:c r="E14" s="150" t="n">
        <x:f>'Planning inputs'!E37</x:f>
        <x:v>1500</x:v>
      </x:c>
      <x:c r="F14" s="150" t="n">
        <x:f>'Planning inputs'!F37</x:f>
        <x:v>2000</x:v>
      </x:c>
      <x:c r="G14" s="150" t="n">
        <x:f>'Planning inputs'!G37</x:f>
        <x:v>2500</x:v>
      </x:c>
      <x:c r="H14" s="150" t="n">
        <x:f>'Planning inputs'!H37</x:f>
        <x:v>3000</x:v>
      </x:c>
      <x:c r="I14"/>
      <x:c r="J14"/>
      <x:c r="K14"/>
      <x:c r="L14"/>
      <x:c r="M14"/>
      <x:c r="N14"/>
    </x:row>
    <x:row r="15" ht="23" customHeight="1">
      <x:c r="B15" s="141" t="str">
        <x:v>Extra admin hours</x:v>
      </x:c>
      <x:c r="C15" s="141" t="str">
        <x:v>hours/month</x:v>
      </x:c>
      <x:c r="D15" s="166" t="n">
        <x:f>'Planning inputs'!D42</x:f>
        <x:v>12</x:v>
      </x:c>
      <x:c r="E15" s="166" t="n">
        <x:f>'Planning inputs'!E42</x:f>
        <x:v>16</x:v>
      </x:c>
      <x:c r="F15" s="166" t="n">
        <x:f>'Planning inputs'!F42</x:f>
        <x:v>20</x:v>
      </x:c>
      <x:c r="G15" s="166" t="n">
        <x:f>'Planning inputs'!G42</x:f>
        <x:v>24</x:v>
      </x:c>
      <x:c r="H15" s="166" t="n">
        <x:f>'Planning inputs'!H42</x:f>
        <x:v>28</x:v>
      </x:c>
      <x:c r="I15"/>
      <x:c r="J15"/>
      <x:c r="K15"/>
      <x:c r="L15"/>
      <x:c r="M15"/>
      <x:c r="N15"/>
    </x:row>
    <x:row r="16" ht="23" customHeight="1">
      <x:c r="B16" s="141" t="str">
        <x:v>Cycle / cash coverage months</x:v>
      </x:c>
      <x:c r="C16" s="141" t="str">
        <x:v>months</x:v>
      </x:c>
      <x:c r="D16" s="166" t="n">
        <x:f>'Planning inputs'!D47</x:f>
        <x:v>1.5</x:v>
      </x:c>
      <x:c r="E16" s="166" t="n">
        <x:f>'Planning inputs'!E47</x:f>
        <x:v>1.5</x:v>
      </x:c>
      <x:c r="F16" s="166" t="n">
        <x:f>'Planning inputs'!F47</x:f>
        <x:v>1.5</x:v>
      </x:c>
      <x:c r="G16" s="166" t="n">
        <x:f>'Planning inputs'!G47</x:f>
        <x:v>1.5</x:v>
      </x:c>
      <x:c r="H16" s="166" t="n">
        <x:f>'Planning inputs'!H47</x:f>
        <x:v>1.5</x:v>
      </x:c>
      <x:c r="I16"/>
      <x:c r="J16"/>
      <x:c r="K16"/>
      <x:c r="L16"/>
      <x:c r="M16"/>
      <x:c r="N16"/>
    </x:row>
    <x:row r="17" ht="23" customHeight="1">
      <x:c r="B17" s="141"/>
      <x:c r="C17" s="141"/>
      <x:c r="D17" s="150"/>
      <x:c r="E17" s="150"/>
      <x:c r="F17" s="150"/>
      <x:c r="G17" s="150"/>
      <x:c r="H17" s="150"/>
      <x:c r="I17"/>
      <x:c r="J17"/>
      <x:c r="K17"/>
      <x:c r="L17"/>
      <x:c r="M17"/>
      <x:c r="N17"/>
    </x:row>
    <x:row r="18" ht="23" customHeight="1">
      <x:c r="B18" s="170" t="str">
        <x:v>Customer revenue</x:v>
      </x:c>
      <x:c r="C18" s="170"/>
      <x:c r="D18" s="171" t="n">
        <x:f>IF(D32="Inputs valid",D8*D9,"n.a.")</x:f>
        <x:v>27300</x:v>
      </x:c>
      <x:c r="E18" s="171" t="n">
        <x:f>IF(E32="Inputs valid",E8*E9,"n.a.")</x:f>
        <x:v>40950</x:v>
      </x:c>
      <x:c r="F18" s="171" t="n">
        <x:f>IF(F32="Inputs valid",F8*F9,"n.a.")</x:f>
        <x:v>54600</x:v>
      </x:c>
      <x:c r="G18" s="171" t="n">
        <x:f>IF(G32="Inputs valid",G8*G9,"n.a.")</x:f>
        <x:v>68250</x:v>
      </x:c>
      <x:c r="H18" s="171" t="n">
        <x:f>IF(H32="Inputs valid",H8*H9,"n.a.")</x:f>
        <x:v>81900</x:v>
      </x:c>
      <x:c r="I18"/>
      <x:c r="J18"/>
      <x:c r="K18"/>
      <x:c r="L18"/>
      <x:c r="M18"/>
      <x:c r="N18"/>
    </x:row>
    <x:row r="19" ht="23" customHeight="1">
      <x:c r="B19" s="141" t="str">
        <x:v>Delivery cash cost</x:v>
      </x:c>
      <x:c r="C19" s="141"/>
      <x:c r="D19" s="150" t="n">
        <x:f>IF(D32="Inputs valid",D8*D10,"n.a.")</x:f>
        <x:v>18000</x:v>
      </x:c>
      <x:c r="E19" s="150" t="n">
        <x:f>IF(E32="Inputs valid",E8*E10,"n.a.")</x:f>
        <x:v>27000</x:v>
      </x:c>
      <x:c r="F19" s="150" t="n">
        <x:f>IF(F32="Inputs valid",F8*F10,"n.a.")</x:f>
        <x:v>36000</x:v>
      </x:c>
      <x:c r="G19" s="150" t="n">
        <x:f>IF(G32="Inputs valid",G8*G10,"n.a.")</x:f>
        <x:v>45000</x:v>
      </x:c>
      <x:c r="H19" s="150" t="n">
        <x:f>IF(H32="Inputs valid",H8*H10,"n.a.")</x:f>
        <x:v>54000</x:v>
      </x:c>
      <x:c r="I19"/>
      <x:c r="J19"/>
      <x:c r="K19"/>
      <x:c r="L19"/>
      <x:c r="M19"/>
      <x:c r="N19"/>
    </x:row>
    <x:row r="20" ht="23" customHeight="1">
      <x:c r="B20" s="141" t="str">
        <x:v>Delivery + admin work hours</x:v>
      </x:c>
      <x:c r="C20" s="141"/>
      <x:c r="D20" s="166" t="n">
        <x:f>IF(D32="Inputs valid",D8*D11+D15,"n.a.")</x:f>
        <x:v>102</x:v>
      </x:c>
      <x:c r="E20" s="166" t="n">
        <x:f>IF(E32="Inputs valid",E8*E11+E15,"n.a.")</x:f>
        <x:v>151</x:v>
      </x:c>
      <x:c r="F20" s="166" t="n">
        <x:f>IF(F32="Inputs valid",F8*F11+F15,"n.a.")</x:f>
        <x:v>200</x:v>
      </x:c>
      <x:c r="G20" s="166" t="n">
        <x:f>IF(G32="Inputs valid",G8*G11+G15,"n.a.")</x:f>
        <x:v>249</x:v>
      </x:c>
      <x:c r="H20" s="166" t="n">
        <x:f>IF(H32="Inputs valid",H8*H11+H15,"n.a.")</x:f>
        <x:v>298</x:v>
      </x:c>
      <x:c r="I20"/>
      <x:c r="J20"/>
      <x:c r="K20"/>
      <x:c r="L20"/>
      <x:c r="M20"/>
      <x:c r="N20"/>
    </x:row>
    <x:row r="21" ht="23" customHeight="1">
      <x:c r="B21" s="141" t="str">
        <x:v>Economic value of all work</x:v>
      </x:c>
      <x:c r="C21" s="141"/>
      <x:c r="D21" s="150" t="n">
        <x:f>IF(D32="Inputs valid",D20*D12,"n.a.")</x:f>
        <x:v>5100</x:v>
      </x:c>
      <x:c r="E21" s="150" t="n">
        <x:f>IF(E32="Inputs valid",E20*E12,"n.a.")</x:f>
        <x:v>7550</x:v>
      </x:c>
      <x:c r="F21" s="150" t="n">
        <x:f>IF(F32="Inputs valid",F20*F12,"n.a.")</x:f>
        <x:v>10000</x:v>
      </x:c>
      <x:c r="G21" s="150" t="n">
        <x:f>IF(G32="Inputs valid",G20*G12,"n.a.")</x:f>
        <x:v>12450</x:v>
      </x:c>
      <x:c r="H21" s="150" t="n">
        <x:f>IF(H32="Inputs valid",H20*H12,"n.a.")</x:f>
        <x:v>14900</x:v>
      </x:c>
      <x:c r="I21"/>
      <x:c r="J21"/>
      <x:c r="K21"/>
      <x:c r="L21"/>
      <x:c r="M21"/>
      <x:c r="N21"/>
    </x:row>
    <x:row r="22" ht="23" customHeight="1">
      <x:c r="B22" s="141" t="str">
        <x:v>Paid portion of work</x:v>
      </x:c>
      <x:c r="C22" s="141"/>
      <x:c r="D22" s="150" t="n">
        <x:f>IF(D32="Inputs valid",D21*D13,"n.a.")</x:f>
        <x:v>0</x:v>
      </x:c>
      <x:c r="E22" s="150" t="n">
        <x:f>IF(E32="Inputs valid",E21*E13,"n.a.")</x:f>
        <x:v>550.0000000000003</x:v>
      </x:c>
      <x:c r="F22" s="150" t="n">
        <x:f>IF(F32="Inputs valid",F21*F13,"n.a.")</x:f>
        <x:v>3000.0000000000005</x:v>
      </x:c>
      <x:c r="G22" s="150" t="n">
        <x:f>IF(G32="Inputs valid",G21*G13,"n.a.")</x:f>
        <x:v>5450</x:v>
      </x:c>
      <x:c r="H22" s="150" t="n">
        <x:f>IF(H32="Inputs valid",H21*H13,"n.a.")</x:f>
        <x:v>7900</x:v>
      </x:c>
      <x:c r="I22"/>
      <x:c r="J22"/>
      <x:c r="K22"/>
      <x:c r="L22"/>
      <x:c r="M22"/>
      <x:c r="N22"/>
    </x:row>
    <x:row r="23" ht="23" customHeight="1">
      <x:c r="B23" s="170" t="str">
        <x:v>Cash before unpaid owner work</x:v>
      </x:c>
      <x:c r="C23" s="170"/>
      <x:c r="D23" s="171" t="n">
        <x:f>IF(D32="Inputs valid",D18-D19-D14-D22,"n.a.")</x:f>
        <x:v>8300</x:v>
      </x:c>
      <x:c r="E23" s="171" t="n">
        <x:f>IF(E32="Inputs valid",E18-E19-E14-E22,"n.a.")</x:f>
        <x:v>11900</x:v>
      </x:c>
      <x:c r="F23" s="171" t="n">
        <x:f>IF(F32="Inputs valid",F18-F19-F14-F22,"n.a.")</x:f>
        <x:v>13600</x:v>
      </x:c>
      <x:c r="G23" s="171" t="n">
        <x:f>IF(G32="Inputs valid",G18-G19-G14-G22,"n.a.")</x:f>
        <x:v>15300</x:v>
      </x:c>
      <x:c r="H23" s="171" t="n">
        <x:f>IF(H32="Inputs valid",H18-H19-H14-H22,"n.a.")</x:f>
        <x:v>17000</x:v>
      </x:c>
      <x:c r="I23"/>
      <x:c r="J23"/>
      <x:c r="K23"/>
      <x:c r="L23"/>
      <x:c r="M23"/>
      <x:c r="N23"/>
    </x:row>
    <x:row r="24" ht="23" customHeight="1">
      <x:c r="B24" s="141" t="str">
        <x:v>Unpaid owner work allowance</x:v>
      </x:c>
      <x:c r="C24" s="141"/>
      <x:c r="D24" s="150" t="n">
        <x:f>IF(D32="Inputs valid",D21-D22,"n.a.")</x:f>
        <x:v>5100</x:v>
      </x:c>
      <x:c r="E24" s="150" t="n">
        <x:f>IF(E32="Inputs valid",E21-E22,"n.a.")</x:f>
        <x:v>7000</x:v>
      </x:c>
      <x:c r="F24" s="150" t="n">
        <x:f>IF(F32="Inputs valid",F21-F22,"n.a.")</x:f>
        <x:v>7000</x:v>
      </x:c>
      <x:c r="G24" s="150" t="n">
        <x:f>IF(G32="Inputs valid",G21-G22,"n.a.")</x:f>
        <x:v>7000</x:v>
      </x:c>
      <x:c r="H24" s="150" t="n">
        <x:f>IF(H32="Inputs valid",H21-H22,"n.a.")</x:f>
        <x:v>7000</x:v>
      </x:c>
      <x:c r="I24"/>
      <x:c r="J24"/>
      <x:c r="K24"/>
      <x:c r="L24"/>
      <x:c r="M24"/>
      <x:c r="N24"/>
    </x:row>
    <x:row r="25" ht="23" customHeight="1">
      <x:c r="B25" s="174" t="str">
        <x:v>Remainder after all modeled work</x:v>
      </x:c>
      <x:c r="C25" s="174"/>
      <x:c r="D25" s="175" t="n">
        <x:f>IF(D32="Inputs valid",D23-D24,"n.a.")</x:f>
        <x:v>3200</x:v>
      </x:c>
      <x:c r="E25" s="175" t="n">
        <x:f>IF(E32="Inputs valid",E23-E24,"n.a.")</x:f>
        <x:v>4900</x:v>
      </x:c>
      <x:c r="F25" s="175" t="n">
        <x:f>IF(F32="Inputs valid",F23-F24,"n.a.")</x:f>
        <x:v>6600</x:v>
      </x:c>
      <x:c r="G25" s="175" t="n">
        <x:f>IF(G32="Inputs valid",G23-G24,"n.a.")</x:f>
        <x:v>8300</x:v>
      </x:c>
      <x:c r="H25" s="175" t="n">
        <x:f>IF(H32="Inputs valid",H23-H24,"n.a.")</x:f>
        <x:v>10000</x:v>
      </x:c>
      <x:c r="I25"/>
      <x:c r="J25"/>
      <x:c r="K25"/>
      <x:c r="L25"/>
      <x:c r="M25"/>
      <x:c r="N25"/>
    </x:row>
    <x:row r="26" ht="23" customHeight="1">
      <x:c r="B26" s="141"/>
      <x:c r="C26" s="141"/>
      <x:c r="D26" s="150"/>
      <x:c r="E26" s="150"/>
      <x:c r="F26" s="150"/>
      <x:c r="G26" s="150"/>
      <x:c r="H26" s="150"/>
      <x:c r="I26"/>
      <x:c r="J26"/>
      <x:c r="K26"/>
      <x:c r="L26"/>
      <x:c r="M26"/>
      <x:c r="N26"/>
    </x:row>
    <x:row r="27" ht="23" customHeight="1">
      <x:c r="B27" s="141" t="str">
        <x:v>Owner work hours</x:v>
      </x:c>
      <x:c r="C27" s="141"/>
      <x:c r="D27" s="166" t="n">
        <x:f>IF(D32="Inputs valid",D20*(1-D13),"n.a.")</x:f>
        <x:v>102</x:v>
      </x:c>
      <x:c r="E27" s="166" t="n">
        <x:f>IF(E32="Inputs valid",E20*(1-E13),"n.a.")</x:f>
        <x:v>140</x:v>
      </x:c>
      <x:c r="F27" s="166" t="n">
        <x:f>IF(F32="Inputs valid",F20*(1-F13),"n.a.")</x:f>
        <x:v>140</x:v>
      </x:c>
      <x:c r="G27" s="166" t="n">
        <x:f>IF(G32="Inputs valid",G20*(1-G13),"n.a.")</x:f>
        <x:v>140</x:v>
      </x:c>
      <x:c r="H27" s="166" t="n">
        <x:f>IF(H32="Inputs valid",H20*(1-H13),"n.a.")</x:f>
        <x:v>140</x:v>
      </x:c>
      <x:c r="I27"/>
      <x:c r="J27"/>
      <x:c r="K27"/>
      <x:c r="L27"/>
      <x:c r="M27"/>
      <x:c r="N27"/>
    </x:row>
    <x:row r="28" ht="23" customHeight="1">
      <x:c r="B28" s="141" t="str">
        <x:v>Paid team work hours</x:v>
      </x:c>
      <x:c r="C28" s="141"/>
      <x:c r="D28" s="166" t="n">
        <x:f>IF(D32="Inputs valid",D20*D13,"n.a.")</x:f>
        <x:v>0</x:v>
      </x:c>
      <x:c r="E28" s="166" t="n">
        <x:f>IF(E32="Inputs valid",E20*E13,"n.a.")</x:f>
        <x:v>11.000000000000005</x:v>
      </x:c>
      <x:c r="F28" s="166" t="n">
        <x:f>IF(F32="Inputs valid",F20*F13,"n.a.")</x:f>
        <x:v>60.00000000000001</x:v>
      </x:c>
      <x:c r="G28" s="166" t="n">
        <x:f>IF(G32="Inputs valid",G20*G13,"n.a.")</x:f>
        <x:v>109</x:v>
      </x:c>
      <x:c r="H28" s="166" t="n">
        <x:f>IF(H32="Inputs valid",H20*H13,"n.a.")</x:f>
        <x:v>158</x:v>
      </x:c>
      <x:c r="I28"/>
      <x:c r="J28"/>
      <x:c r="K28"/>
      <x:c r="L28"/>
      <x:c r="M28"/>
      <x:c r="N28"/>
    </x:row>
    <x:row r="29" ht="23" customHeight="1">
      <x:c r="B29" s="170" t="str">
        <x:v>Working-cash coverage required</x:v>
      </x:c>
      <x:c r="C29" s="170"/>
      <x:c r="D29" s="171" t="n">
        <x:f>IF(D32="Inputs valid",D19*D16+2*(D14+D22),"n.a.")</x:f>
        <x:v>29000</x:v>
      </x:c>
      <x:c r="E29" s="171" t="n">
        <x:f>IF(E32="Inputs valid",E19*E16+2*(E14+E22),"n.a.")</x:f>
        <x:v>44600</x:v>
      </x:c>
      <x:c r="F29" s="171" t="n">
        <x:f>IF(F32="Inputs valid",F19*F16+2*(F14+F22),"n.a.")</x:f>
        <x:v>64000</x:v>
      </x:c>
      <x:c r="G29" s="171" t="n">
        <x:f>IF(G32="Inputs valid",G19*G16+2*(G14+G22),"n.a.")</x:f>
        <x:v>83400</x:v>
      </x:c>
      <x:c r="H29" s="171" t="n">
        <x:f>IF(H32="Inputs valid",H19*H16+2*(H14+H22),"n.a.")</x:f>
        <x:v>102800</x:v>
      </x:c>
      <x:c r="I29"/>
      <x:c r="J29"/>
      <x:c r="K29"/>
      <x:c r="L29"/>
      <x:c r="M29"/>
      <x:c r="N29"/>
    </x:row>
    <x:row r="30" ht="23" customHeight="1">
      <x:c r="B30" s="141" t="str">
        <x:v>Concurrent stock / deliveries</x:v>
      </x:c>
      <x:c r="C30" s="141"/>
      <x:c r="D30" s="166" t="n">
        <x:f>IF(D32="Inputs valid",D8*D16,"n.a.")</x:f>
        <x:v>6</x:v>
      </x:c>
      <x:c r="E30" s="166" t="n">
        <x:f>IF(E32="Inputs valid",E8*E16,"n.a.")</x:f>
        <x:v>9</x:v>
      </x:c>
      <x:c r="F30" s="166" t="n">
        <x:f>IF(F32="Inputs valid",F8*F16,"n.a.")</x:f>
        <x:v>12</x:v>
      </x:c>
      <x:c r="G30" s="166" t="n">
        <x:f>IF(G32="Inputs valid",G8*G16,"n.a.")</x:f>
        <x:v>15</x:v>
      </x:c>
      <x:c r="H30" s="166" t="n">
        <x:f>IF(H32="Inputs valid",H8*H16,"n.a.")</x:f>
        <x:v>18</x:v>
      </x:c>
      <x:c r="I30"/>
      <x:c r="J30"/>
      <x:c r="K30"/>
      <x:c r="L30"/>
      <x:c r="M30"/>
      <x:c r="N30"/>
    </x:row>
    <x:row r="31" ht="40" customHeight="1">
      <x:c r="B31" s="141" t="str">
        <x:v>Owner workload screen</x:v>
      </x:c>
      <x:c r="C31" s="141"/>
      <x:c r="D31" s="143" t="str">
        <x:f>IF(D32="Inputs valid",IF(D27&gt;160,"Needs more help","Within 160h screen"),"n.a.")</x:f>
        <x:v>Within 160h screen</x:v>
      </x:c>
      <x:c r="E31" s="143" t="str">
        <x:f>IF(E32="Inputs valid",IF(E27&gt;160,"Needs more help","Within 160h screen"),"n.a.")</x:f>
        <x:v>Within 160h screen</x:v>
      </x:c>
      <x:c r="F31" s="143" t="str">
        <x:f>IF(F32="Inputs valid",IF(F27&gt;160,"Needs more help","Within 160h screen"),"n.a.")</x:f>
        <x:v>Within 160h screen</x:v>
      </x:c>
      <x:c r="G31" s="143" t="str">
        <x:f>IF(G32="Inputs valid",IF(G27&gt;160,"Needs more help","Within 160h screen"),"n.a.")</x:f>
        <x:v>Within 160h screen</x:v>
      </x:c>
      <x:c r="H31" s="143" t="str">
        <x:f>IF(H32="Inputs valid",IF(H27&gt;160,"Needs more help","Within 160h screen"),"n.a.")</x:f>
        <x:v>Within 160h screen</x:v>
      </x:c>
      <x:c r="I31"/>
      <x:c r="J31"/>
      <x:c r="K31"/>
      <x:c r="L31"/>
      <x:c r="M31"/>
      <x:c r="N31"/>
    </x:row>
    <x:row r="32" ht="40" customHeight="1">
      <x:c r="B32" s="141" t="str">
        <x:v>Model input status</x:v>
      </x:c>
      <x:c r="C32" s="141"/>
      <x:c r="D32" s="143" t="str">
        <x:f>IF(OR(COUNT(D8:D16)&lt;&gt;9,MIN(D8:D16)&lt;0,D13&gt;1),"Check inputs","Inputs valid")</x:f>
        <x:v>Inputs valid</x:v>
      </x:c>
      <x:c r="E32" s="143" t="str">
        <x:f>IF(OR(COUNT(E8:E16)&lt;&gt;9,MIN(E8:E16)&lt;0,E13&gt;1),"Check inputs","Inputs valid")</x:f>
        <x:v>Inputs valid</x:v>
      </x:c>
      <x:c r="F32" s="143" t="str">
        <x:f>IF(OR(COUNT(F8:F16)&lt;&gt;9,MIN(F8:F16)&lt;0,F13&gt;1),"Check inputs","Inputs valid")</x:f>
        <x:v>Inputs valid</x:v>
      </x:c>
      <x:c r="G32" s="143" t="str">
        <x:f>IF(OR(COUNT(G8:G16)&lt;&gt;9,MIN(G8:G16)&lt;0,G13&gt;1),"Check inputs","Inputs valid")</x:f>
        <x:v>Inputs valid</x:v>
      </x:c>
      <x:c r="H32" s="143" t="str">
        <x:f>IF(OR(COUNT(H8:H16)&lt;&gt;9,MIN(H8:H16)&lt;0,H13&gt;1),"Check inputs","Inputs valid")</x:f>
        <x:v>Inputs valid</x:v>
      </x:c>
      <x:c r="I32"/>
      <x:c r="J32"/>
      <x:c r="K32"/>
      <x:c r="L32"/>
      <x:c r="M32"/>
      <x:c r="N32"/>
    </x:row>
    <x:row r="33" ht="23" customHeight="1">
      <x:c r="B33" s="141"/>
      <x:c r="C33" s="141"/>
      <x:c r="D33" s="141"/>
      <x:c r="E33" s="141"/>
      <x:c r="F33" s="141"/>
      <x:c r="G33" s="141"/>
      <x:c r="H33" s="141"/>
      <x:c r="I33"/>
      <x:c r="J33"/>
      <x:c r="K33"/>
      <x:c r="L33"/>
      <x:c r="M33"/>
      <x:c r="N33"/>
    </x:row>
    <x:row r="34" ht="23" customHeight="1">
      <x:c r="B34" s="141"/>
      <x:c r="C34" s="141"/>
      <x:c r="D34" s="141"/>
      <x:c r="E34" s="141"/>
      <x:c r="F34" s="141"/>
      <x:c r="G34" s="141"/>
      <x:c r="H34" s="141"/>
      <x:c r="I34"/>
      <x:c r="J34"/>
      <x:c r="K34"/>
      <x:c r="L34"/>
      <x:c r="M34"/>
      <x:c r="N34"/>
    </x:row>
    <x:row r="35" ht="44" customHeight="1">
      <x:c r="B35" s="143" t="str">
        <x:v>Change the single case selector on Planning inputs. Yellow cells are proposed assumptions. The handbook shows the September 21 comparison; editing a workbook does not rewrite the book.</x:v>
      </x:c>
      <x:c r="C35" s="143"/>
      <x:c r="D35" s="143"/>
      <x:c r="E35" s="143"/>
      <x:c r="F35" s="143"/>
      <x:c r="G35" s="143"/>
      <x:c r="H35" s="143"/>
      <x:c r="I35"/>
      <x:c r="J35"/>
      <x:c r="K35"/>
      <x:c r="L35"/>
      <x:c r="M35"/>
      <x:c r="N35"/>
    </x:row>
    <x:row r="36" ht="44" customHeight="1">
      <x:c r="B36" s="143" t="str">
        <x:v>These are five illustrative operating years shown as an average month, not calendar-month cash flow. No seasonality, tax, debt, capex, distributions or new CSG funding is forecast.</x:v>
      </x:c>
      <x:c r="C36" s="143"/>
      <x:c r="D36" s="143"/>
      <x:c r="E36" s="143"/>
      <x:c r="F36" s="143"/>
      <x:c r="G36" s="143"/>
      <x:c r="H36" s="143"/>
      <x:c r="I36"/>
      <x:c r="J36"/>
      <x:c r="K36"/>
      <x:c r="L36"/>
      <x:c r="M36"/>
      <x:c r="N36"/>
    </x:row>
    <x:row r="37" ht="44" customHeight="1">
      <x:c r="B37" s="143" t="str">
        <x:v>Cash before owner work is before owner withdrawals and tax. Unpaid owner time is a separate economic allowance, not a cash payment. A shortfall after that allowance is not necessarily a cash loss. Costs and hours remain unverified planning assumptions.</x:v>
      </x:c>
      <x:c r="C37" s="143"/>
      <x:c r="D37" s="143"/>
      <x:c r="E37" s="143"/>
      <x:c r="F37" s="143"/>
      <x:c r="G37" s="143"/>
      <x:c r="H37" s="143"/>
      <x:c r="I37"/>
      <x:c r="J37"/>
      <x:c r="K37"/>
      <x:c r="L37"/>
      <x:c r="M37"/>
      <x:c r="N37"/>
    </x:row>
    <x:row r="38" ht="44" customHeight="1">
      <x:c r="B38" s="143" t="str">
        <x:v>Working-cash coverage is a sizing test, not the bank balance or an assurance of funding. CSG partly funds separate businesses; record support separately from revenue and do not merge entities.</x:v>
      </x:c>
      <x:c r="C38" s="143"/>
      <x:c r="D38" s="143"/>
      <x:c r="E38" s="143"/>
      <x:c r="F38" s="143"/>
      <x:c r="G38" s="143"/>
      <x:c r="H38" s="143"/>
      <x:c r="I38"/>
      <x:c r="J38"/>
      <x:c r="K38"/>
      <x:c r="L38"/>
      <x:c r="M38"/>
      <x:c r="N38"/>
    </x:row>
    <x:row r="39" ht="44" customHeight="1">
      <x:c r="B39" s="143" t="str">
        <x:v>160 hours/month is a workload screen, not a proven schedule. Include time off and peaks when hiring. Actual labor burden, quotes, capacity and customer demand can change the result.</x:v>
      </x:c>
      <x:c r="C39" s="143"/>
      <x:c r="D39" s="143"/>
      <x:c r="E39" s="143"/>
      <x:c r="F39" s="143"/>
      <x:c r="G39" s="143"/>
      <x:c r="H39" s="143"/>
      <x:c r="I39"/>
      <x:c r="J39"/>
      <x:c r="K39"/>
      <x:c r="L39"/>
      <x:c r="M39"/>
      <x:c r="N39"/>
    </x:row>
    <x:row r="40" ht="23" customHeight="1">
      <x:c r="B40" s="141"/>
      <x:c r="C40" s="141"/>
      <x:c r="D40" s="141"/>
      <x:c r="E40" s="141"/>
      <x:c r="F40" s="141"/>
      <x:c r="G40" s="141"/>
      <x:c r="H40" s="141"/>
      <x:c r="I40"/>
      <x:c r="J40"/>
      <x:c r="K40"/>
      <x:c r="L40"/>
      <x:c r="M40"/>
      <x:c r="N40"/>
    </x:row>
    <x:row r="41" ht="23" customHeight="1">
      <x:c r="B41" s="141"/>
      <x:c r="C41" s="141"/>
      <x:c r="D41" s="141"/>
      <x:c r="E41" s="141"/>
      <x:c r="F41" s="141"/>
      <x:c r="G41" s="141"/>
      <x:c r="H41" s="141"/>
      <x:c r="I41"/>
      <x:c r="J41"/>
      <x:c r="K41"/>
      <x:c r="L41"/>
      <x:c r="M41"/>
      <x:c r="N41"/>
    </x:row>
    <x:row r="42" ht="23" customHeight="1">
      <x:c r="B42" s="141"/>
      <x:c r="C42" s="141"/>
      <x:c r="D42" s="141"/>
      <x:c r="E42" s="141"/>
      <x:c r="F42" s="141"/>
      <x:c r="G42" s="141"/>
      <x:c r="H42" s="141"/>
      <x:c r="I42"/>
      <x:c r="J42"/>
      <x:c r="K42"/>
      <x:c r="L42"/>
      <x:c r="M42"/>
      <x:c r="N42"/>
    </x:row>
    <x:row r="43" ht="23" customHeight="1">
      <x:c r="B43" s="141"/>
      <x:c r="C43" s="141"/>
      <x:c r="D43" s="141"/>
      <x:c r="E43" s="141"/>
      <x:c r="F43" s="141"/>
      <x:c r="G43" s="141"/>
      <x:c r="H43" s="141"/>
      <x:c r="I43"/>
      <x:c r="J43"/>
      <x:c r="K43"/>
      <x:c r="L43"/>
      <x:c r="M43"/>
      <x:c r="N43"/>
    </x:row>
    <x:row r="44" ht="23" customHeight="1">
      <x:c r="B44" s="141"/>
      <x:c r="C44" s="141"/>
      <x:c r="D44" s="141"/>
      <x:c r="E44" s="141"/>
      <x:c r="F44" s="141"/>
      <x:c r="G44" s="141"/>
      <x:c r="H44" s="141"/>
      <x:c r="I44"/>
      <x:c r="J44"/>
      <x:c r="K44"/>
      <x:c r="L44"/>
      <x:c r="M44"/>
      <x:c r="N44"/>
    </x:row>
    <x:row r="45" ht="23" customHeight="1">
      <x:c r="B45" s="141"/>
      <x:c r="C45" s="141"/>
      <x:c r="D45" s="141"/>
      <x:c r="E45" s="141"/>
      <x:c r="F45" s="141"/>
      <x:c r="G45" s="141"/>
      <x:c r="H45" s="141"/>
      <x:c r="I45"/>
      <x:c r="J45"/>
      <x:c r="K45"/>
      <x:c r="L45"/>
      <x:c r="M45"/>
      <x:c r="N45"/>
    </x:row>
    <x:row r="46" ht="23" customHeight="1">
      <x:c r="B46" s="141"/>
      <x:c r="C46" s="141"/>
      <x:c r="D46" s="141"/>
      <x:c r="E46" s="141"/>
      <x:c r="F46" s="141"/>
      <x:c r="G46" s="141"/>
      <x:c r="H46" s="141"/>
      <x:c r="I46"/>
      <x:c r="J46"/>
      <x:c r="K46"/>
      <x:c r="L46"/>
      <x:c r="M46"/>
      <x:c r="N46"/>
    </x:row>
    <x:row r="47" ht="23" customHeight="1">
      <x:c r="B47" s="141"/>
      <x:c r="C47" s="141"/>
      <x:c r="D47" s="141"/>
      <x:c r="E47" s="141"/>
      <x:c r="F47" s="141"/>
      <x:c r="G47" s="141"/>
      <x:c r="H47" s="141"/>
      <x:c r="I47"/>
      <x:c r="J47"/>
      <x:c r="K47"/>
      <x:c r="L47"/>
      <x:c r="M47"/>
      <x:c r="N47"/>
    </x:row>
    <x:row r="48" ht="23" customHeight="1">
      <x:c r="B48" s="141"/>
      <x:c r="C48" s="141"/>
      <x:c r="D48" s="141"/>
      <x:c r="E48" s="141"/>
      <x:c r="F48" s="141"/>
      <x:c r="G48" s="141"/>
      <x:c r="H48" s="141"/>
      <x:c r="I48"/>
      <x:c r="J48"/>
      <x:c r="K48"/>
      <x:c r="L48"/>
      <x:c r="M48"/>
      <x:c r="N48"/>
    </x:row>
    <x:row r="49" ht="23" customHeight="1">
      <x:c r="B49" s="141"/>
      <x:c r="C49" s="141"/>
      <x:c r="D49" s="141"/>
      <x:c r="E49" s="141"/>
      <x:c r="F49" s="141"/>
      <x:c r="G49" s="141"/>
      <x:c r="H49" s="141"/>
      <x:c r="I49"/>
      <x:c r="J49"/>
      <x:c r="K49"/>
      <x:c r="L49"/>
      <x:c r="M49"/>
      <x:c r="N49"/>
    </x:row>
    <x:row r="50" ht="23" customHeight="1">
      <x:c r="B50" s="141"/>
      <x:c r="C50" s="141"/>
      <x:c r="D50" s="141"/>
      <x:c r="E50" s="141"/>
      <x:c r="F50" s="141"/>
      <x:c r="G50" s="141"/>
      <x:c r="H50" s="141"/>
      <x:c r="I50"/>
      <x:c r="J50"/>
      <x:c r="K50"/>
      <x:c r="L50"/>
      <x:c r="M50"/>
      <x:c r="N50"/>
    </x:row>
    <x:row r="51" ht="23" customHeight="1">
      <x:c r="B51" s="141"/>
      <x:c r="C51" s="141"/>
      <x:c r="D51" s="141"/>
      <x:c r="E51" s="141"/>
      <x:c r="F51" s="141"/>
      <x:c r="G51" s="141"/>
      <x:c r="H51" s="141"/>
      <x:c r="I51"/>
      <x:c r="J51"/>
      <x:c r="K51"/>
      <x:c r="L51"/>
      <x:c r="M51"/>
      <x:c r="N51"/>
    </x:row>
    <x:row r="52" ht="23" customHeight="1">
      <x:c r="B52" s="141"/>
      <x:c r="C52" s="141"/>
      <x:c r="D52" s="141"/>
      <x:c r="E52" s="141"/>
      <x:c r="F52" s="141"/>
      <x:c r="G52" s="141"/>
      <x:c r="H52" s="141"/>
      <x:c r="I52"/>
      <x:c r="J52"/>
      <x:c r="K52"/>
      <x:c r="L52"/>
      <x:c r="M52"/>
      <x:c r="N52"/>
    </x:row>
    <x:row r="53" ht="23" customHeight="1">
      <x:c r="B53" s="141"/>
      <x:c r="C53" s="141"/>
      <x:c r="D53" s="141"/>
      <x:c r="E53" s="141"/>
      <x:c r="F53" s="141"/>
      <x:c r="G53" s="141"/>
      <x:c r="H53" s="141"/>
      <x:c r="I53"/>
      <x:c r="J53"/>
      <x:c r="K53"/>
      <x:c r="L53"/>
      <x:c r="M53"/>
      <x:c r="N53"/>
    </x:row>
    <x:row r="54" ht="23" customHeight="1">
      <x:c r="B54" s="141"/>
      <x:c r="C54" s="141"/>
      <x:c r="D54" s="141"/>
      <x:c r="E54" s="141"/>
      <x:c r="F54" s="141"/>
      <x:c r="G54" s="141"/>
      <x:c r="H54" s="141"/>
      <x:c r="I54"/>
      <x:c r="J54"/>
      <x:c r="K54"/>
      <x:c r="L54"/>
      <x:c r="M54"/>
      <x:c r="N54"/>
    </x:row>
    <x:row r="55" ht="23" customHeight="1">
      <x:c r="B55" s="141"/>
      <x:c r="C55" s="141"/>
      <x:c r="D55" s="141"/>
      <x:c r="E55" s="141"/>
      <x:c r="F55" s="141"/>
      <x:c r="G55" s="141"/>
      <x:c r="H55" s="141"/>
      <x:c r="I55"/>
      <x:c r="J55"/>
      <x:c r="K55"/>
      <x:c r="L55"/>
      <x:c r="M55"/>
      <x:c r="N55"/>
    </x:row>
    <x:row r="56" ht="23" customHeight="1">
      <x:c r="B56" s="141"/>
      <x:c r="C56" s="141"/>
      <x:c r="D56" s="141"/>
      <x:c r="E56" s="141"/>
      <x:c r="F56" s="141"/>
      <x:c r="G56" s="141"/>
      <x:c r="H56" s="141"/>
      <x:c r="I56"/>
      <x:c r="J56"/>
      <x:c r="K56"/>
      <x:c r="L56"/>
      <x:c r="M56"/>
      <x:c r="N56"/>
    </x:row>
    <x:row r="57" ht="23" customHeight="1">
      <x:c r="B57" s="141"/>
      <x:c r="C57" s="141"/>
      <x:c r="D57" s="141"/>
      <x:c r="E57" s="141"/>
      <x:c r="F57" s="141"/>
      <x:c r="G57" s="141"/>
      <x:c r="H57" s="141"/>
      <x:c r="I57"/>
      <x:c r="J57"/>
      <x:c r="K57"/>
      <x:c r="L57"/>
      <x:c r="M57"/>
      <x:c r="N57"/>
    </x:row>
    <x:row r="58" ht="23" customHeight="1">
      <x:c r="B58" s="141"/>
      <x:c r="C58" s="141"/>
      <x:c r="D58" s="141"/>
      <x:c r="E58" s="141"/>
      <x:c r="F58" s="141"/>
      <x:c r="G58" s="141"/>
      <x:c r="H58" s="141"/>
      <x:c r="I58"/>
      <x:c r="J58"/>
      <x:c r="K58"/>
      <x:c r="L58"/>
      <x:c r="M58"/>
      <x:c r="N58"/>
    </x:row>
    <x:row r="59" ht="23" customHeight="1">
      <x:c r="B59" s="141"/>
      <x:c r="C59" s="141"/>
      <x:c r="D59" s="141"/>
      <x:c r="E59" s="141"/>
      <x:c r="F59" s="141"/>
      <x:c r="G59" s="141"/>
      <x:c r="H59" s="141"/>
      <x:c r="I59"/>
      <x:c r="J59"/>
      <x:c r="K59"/>
      <x:c r="L59"/>
      <x:c r="M59"/>
      <x:c r="N59"/>
    </x:row>
    <x:row r="60" ht="23" customHeight="1">
      <x:c r="B60" s="141"/>
      <x:c r="C60" s="141"/>
      <x:c r="D60" s="141"/>
      <x:c r="E60" s="141"/>
      <x:c r="F60" s="141"/>
      <x:c r="G60" s="141"/>
      <x:c r="H60" s="141"/>
      <x:c r="I60"/>
      <x:c r="J60"/>
      <x:c r="K60"/>
      <x:c r="L60"/>
      <x:c r="M60"/>
      <x:c r="N60"/>
    </x:row>
    <x:row r="61" ht="23" customHeight="1">
      <x:c r="B61" s="141"/>
      <x:c r="C61" s="141"/>
      <x:c r="D61" s="141"/>
      <x:c r="E61" s="141"/>
      <x:c r="F61" s="141"/>
      <x:c r="G61" s="141"/>
      <x:c r="H61" s="141"/>
      <x:c r="I61"/>
      <x:c r="J61"/>
      <x:c r="K61"/>
      <x:c r="L61"/>
      <x:c r="M61"/>
      <x:c r="N61"/>
    </x:row>
    <x:row r="62" ht="23" customHeight="1">
      <x:c r="B62" s="141"/>
      <x:c r="C62" s="141"/>
      <x:c r="D62" s="141"/>
      <x:c r="E62" s="141"/>
      <x:c r="F62" s="141"/>
      <x:c r="G62" s="141"/>
      <x:c r="H62" s="141"/>
      <x:c r="I62"/>
      <x:c r="J62"/>
      <x:c r="K62"/>
      <x:c r="L62"/>
      <x:c r="M62"/>
      <x:c r="N62"/>
    </x:row>
    <x:row r="63" ht="23" customHeight="1">
      <x:c r="B63" s="141"/>
      <x:c r="C63" s="141"/>
      <x:c r="D63" s="141"/>
      <x:c r="E63" s="141"/>
      <x:c r="F63" s="141"/>
      <x:c r="G63" s="141"/>
      <x:c r="H63" s="141"/>
      <x:c r="I63"/>
      <x:c r="J63"/>
      <x:c r="K63"/>
      <x:c r="L63"/>
      <x:c r="M63"/>
      <x:c r="N63"/>
    </x:row>
    <x:row r="64" ht="23" customHeight="1">
      <x:c r="B64" s="141"/>
      <x:c r="C64" s="141"/>
      <x:c r="D64" s="141"/>
      <x:c r="E64" s="141"/>
      <x:c r="F64" s="141"/>
      <x:c r="G64" s="141"/>
      <x:c r="H64" s="141"/>
    </x:row>
    <x:row r="65" ht="23" customHeight="1">
      <x:c r="B65" s="141"/>
      <x:c r="C65" s="141"/>
      <x:c r="D65" s="141"/>
      <x:c r="E65" s="141"/>
      <x:c r="F65" s="141"/>
      <x:c r="G65" s="141"/>
      <x:c r="H65" s="141"/>
    </x:row>
    <x:row r="66" ht="23" customHeight="1">
      <x:c r="B66" s="141"/>
      <x:c r="C66" s="141"/>
      <x:c r="D66" s="141"/>
      <x:c r="E66" s="141"/>
      <x:c r="F66" s="141"/>
      <x:c r="G66" s="141"/>
      <x:c r="H66" s="141"/>
    </x:row>
    <x:row r="67" ht="23" customHeight="1">
      <x:c r="B67" s="141"/>
      <x:c r="C67" s="141"/>
      <x:c r="D67" s="141"/>
      <x:c r="E67" s="141"/>
      <x:c r="F67" s="141"/>
      <x:c r="G67" s="141"/>
      <x:c r="H67" s="141"/>
    </x:row>
    <x:row r="68" ht="23" customHeight="1">
      <x:c r="B68" s="141"/>
      <x:c r="C68" s="141"/>
      <x:c r="D68" s="141"/>
      <x:c r="E68" s="141"/>
      <x:c r="F68" s="141"/>
      <x:c r="G68" s="141"/>
      <x:c r="H68" s="141"/>
    </x:row>
    <x:row r="69" ht="23" customHeight="1">
      <x:c r="B69" s="141"/>
      <x:c r="C69" s="141"/>
      <x:c r="D69" s="141"/>
      <x:c r="E69" s="141"/>
      <x:c r="F69" s="141"/>
      <x:c r="G69" s="141"/>
      <x:c r="H69" s="141"/>
    </x:row>
    <x:row r="70" ht="23" customHeight="1">
      <x:c r="B70" s="141"/>
      <x:c r="C70" s="141"/>
      <x:c r="D70" s="141"/>
      <x:c r="E70" s="141"/>
      <x:c r="F70" s="141"/>
      <x:c r="G70" s="141"/>
      <x:c r="H70" s="141"/>
    </x:row>
    <x:row r="71" ht="23" customHeight="1">
      <x:c r="B71" s="141"/>
      <x:c r="C71" s="141"/>
      <x:c r="D71" s="141"/>
      <x:c r="E71" s="141"/>
      <x:c r="F71" s="141"/>
      <x:c r="G71" s="141"/>
      <x:c r="H71" s="141"/>
    </x:row>
    <x:row r="72" ht="23" customHeight="1">
      <x:c r="B72" s="141"/>
      <x:c r="C72" s="141"/>
      <x:c r="D72" s="141"/>
      <x:c r="E72" s="141"/>
      <x:c r="F72" s="141"/>
      <x:c r="G72" s="141"/>
      <x:c r="H72" s="141"/>
    </x:row>
    <x:row r="73" ht="23" customHeight="1">
      <x:c r="B73" s="141"/>
      <x:c r="C73" s="141"/>
      <x:c r="D73" s="141"/>
      <x:c r="E73" s="141"/>
      <x:c r="F73" s="141"/>
      <x:c r="G73" s="141"/>
      <x:c r="H73" s="141"/>
    </x:row>
    <x:row r="74" ht="23" customHeight="1">
      <x:c r="B74" s="141"/>
      <x:c r="C74" s="141"/>
      <x:c r="D74" s="141"/>
      <x:c r="E74" s="141"/>
      <x:c r="F74" s="141"/>
      <x:c r="G74" s="141"/>
      <x:c r="H74" s="141"/>
    </x:row>
    <x:row r="75" ht="23" customHeight="1">
      <x:c r="B75" s="141"/>
      <x:c r="C75" s="141"/>
      <x:c r="D75" s="141"/>
      <x:c r="E75" s="141"/>
      <x:c r="F75" s="141"/>
      <x:c r="G75" s="141"/>
      <x:c r="H75" s="141"/>
    </x:row>
    <x:row r="76" ht="23" customHeight="1">
      <x:c r="B76" s="141"/>
      <x:c r="C76" s="141"/>
      <x:c r="D76" s="141"/>
      <x:c r="E76" s="141"/>
      <x:c r="F76" s="141"/>
      <x:c r="G76" s="141"/>
      <x:c r="H76" s="141"/>
    </x:row>
    <x:row r="77" ht="23" customHeight="1">
      <x:c r="B77" s="141"/>
      <x:c r="C77" s="141"/>
      <x:c r="D77" s="141"/>
      <x:c r="E77" s="141"/>
      <x:c r="F77" s="141"/>
      <x:c r="G77" s="141"/>
      <x:c r="H77" s="141"/>
    </x:row>
    <x:row r="78" ht="23" customHeight="1">
      <x:c r="B78" s="141"/>
      <x:c r="C78" s="141"/>
      <x:c r="D78" s="141"/>
      <x:c r="E78" s="141"/>
      <x:c r="F78" s="141"/>
      <x:c r="G78" s="141"/>
      <x:c r="H78" s="141"/>
    </x:row>
    <x:row r="79" ht="23" customHeight="1">
      <x:c r="B79" s="141"/>
      <x:c r="C79" s="141"/>
      <x:c r="D79" s="141"/>
      <x:c r="E79" s="141"/>
      <x:c r="F79" s="141"/>
      <x:c r="G79" s="141"/>
      <x:c r="H79" s="141"/>
    </x:row>
    <x:row r="80" ht="23" customHeight="1">
      <x:c r="B80" s="141"/>
      <x:c r="C80" s="141"/>
      <x:c r="D80" s="141"/>
      <x:c r="E80" s="141"/>
      <x:c r="F80" s="141"/>
      <x:c r="G80" s="141"/>
      <x:c r="H80" s="141"/>
    </x:row>
  </x:sheetData>
  <x:mergeCells>
    <x:mergeCell ref="B5:H5"/>
    <x:mergeCell ref="B35:H35"/>
    <x:mergeCell ref="B36:H36"/>
    <x:mergeCell ref="B37:H37"/>
    <x:mergeCell ref="B38:H38"/>
    <x:mergeCell ref="B39:H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2" hidden="0" customWidth="1"/>
    <x:col min="4" max="4" width="14" hidden="0" customWidth="1"/>
    <x:col min="5" max="5" width="34" hidden="0" customWidth="1"/>
    <x:col min="6" max="6" width="32" hidden="0" customWidth="1"/>
    <x:col min="7" max="7" width="18" hidden="0" customWidth="1"/>
    <x:col min="8" max="8" width="14" hidden="0" customWidth="1"/>
    <x:col min="9" max="9" width="14" hidden="0" customWidth="1"/>
    <x:col min="10" max="10" width="14" hidden="0" customWidth="1"/>
    <x:col min="11" max="11" width="25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2">
      <x:c r="C2" s="67" t="str">
        <x:v>Illustrative per-unit comparable assumptions</x:v>
      </x:c>
      <x:c r="D2" s="67"/>
      <x:c r="E2" s="67"/>
      <x:c r="F2" s="67"/>
      <x:c r="G2" s="67"/>
      <x:c r="H2" s="67"/>
      <x:c r="I2" s="67"/>
      <x:c r="J2" s="67"/>
      <x:c r="K2" s="67"/>
      <x:c r="L2" s="67"/>
      <x:c r="M2" s="67"/>
      <x:c r="N2" s="67"/>
    </x:row>
    <x:row r="3">
      <x:c r="C3" s="68" t="str">
        <x:v>Future deal assumptions, not actual inventory costs. Base resales remain $8,000 / $5,000 / $7,500. Upper asks are conditional class comparisons; the Tailgator is not valued by the Weekend Warrior example. Current costs and reported funding remain distinct.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</x:row>
    <x:row r="4">
      <x:c r="C4" s="69"/>
      <x:c r="D4" s="69"/>
      <x:c r="E4" s="69"/>
      <x:c r="F4" s="69"/>
      <x:c r="G4" s="69"/>
      <x:c r="H4" s="69"/>
      <x:c r="I4" s="69"/>
      <x:c r="J4" s="69"/>
      <x:c r="K4" s="69"/>
      <x:c r="L4" s="69"/>
      <x:c r="M4" s="69"/>
      <x:c r="N4" s="69"/>
    </x:row>
    <x:row r="5" ht="48" customHeight="1">
      <x:c r="C5" s="123" t="str">
        <x:v>Illustrative comparable case</x:v>
      </x:c>
      <x:c r="D5" s="124" t="str">
        <x:v>Sale proceeds</x:v>
      </x:c>
      <x:c r="E5" s="124" t="str">
        <x:v>Acquisition</x:v>
      </x:c>
      <x:c r="F5" s="124" t="str">
        <x:v>Parts / outside repair</x:v>
      </x:c>
      <x:c r="G5" s="124" t="str">
        <x:v>Transport, title &amp; selling</x:v>
      </x:c>
      <x:c r="H5" s="124" t="str">
        <x:v>Contingency</x:v>
      </x:c>
      <x:c r="I5" s="124" t="str">
        <x:v>Cash cost</x:v>
      </x:c>
      <x:c r="J5" s="125" t="str">
        <x:v>Economic labor</x:v>
      </x:c>
      <x:c r="K5" s="140" t="str">
        <x:v>Left before holding</x:v>
      </x:c>
      <x:c r="L5" s="69"/>
      <x:c r="M5" s="69"/>
      <x:c r="N5" s="69"/>
    </x:row>
    <x:row r="6">
      <x:c r="C6" s="85" t="str">
        <x:v>Older Weekend Warrior-like toy hauler</x:v>
      </x:c>
      <x:c r="D6" s="72" t="n">
        <x:v>8000</x:v>
      </x:c>
      <x:c r="E6" s="72" t="n">
        <x:v>5000</x:v>
      </x:c>
      <x:c r="F6" s="72" t="n">
        <x:v>2000</x:v>
      </x:c>
      <x:c r="G6" s="72" t="n">
        <x:v>500</x:v>
      </x:c>
      <x:c r="H6" s="72" t="n">
        <x:v>500</x:v>
      </x:c>
      <x:c r="I6" s="87" t="n">
        <x:f>SUM(E6:H6)</x:f>
        <x:v>8000</x:v>
      </x:c>
      <x:c r="J6" s="88" t="n">
        <x:v>2000</x:v>
      </x:c>
      <x:c r="K6" s="87" t="n">
        <x:f>D6-I6-J6</x:f>
        <x:v>-2000</x:v>
      </x:c>
      <x:c r="L6" s="69"/>
      <x:c r="M6" s="69"/>
      <x:c r="N6" s="69"/>
    </x:row>
    <x:row r="7">
      <x:c r="C7" s="85" t="str">
        <x:v>Ranger class</x:v>
      </x:c>
      <x:c r="D7" s="72" t="n">
        <x:v>5000</x:v>
      </x:c>
      <x:c r="E7" s="72" t="n">
        <x:v>3000</x:v>
      </x:c>
      <x:c r="F7" s="72" t="n">
        <x:v>750</x:v>
      </x:c>
      <x:c r="G7" s="72" t="n">
        <x:v>250</x:v>
      </x:c>
      <x:c r="H7" s="72" t="n">
        <x:v>250</x:v>
      </x:c>
      <x:c r="I7" s="87" t="n">
        <x:f>SUM(E7:H7)</x:f>
        <x:v>4250</x:v>
      </x:c>
      <x:c r="J7" s="88" t="n">
        <x:v>750</x:v>
      </x:c>
      <x:c r="K7" s="87" t="n">
        <x:f>D7-I7-J7</x:f>
        <x:v>0</x:v>
      </x:c>
      <x:c r="L7" s="69"/>
      <x:c r="M7" s="69"/>
      <x:c r="N7" s="69"/>
    </x:row>
    <x:row r="8">
      <x:c r="C8" s="100" t="str">
        <x:v>Pioneer class</x:v>
      </x:c>
      <x:c r="D8" s="102" t="n">
        <x:v>7500</x:v>
      </x:c>
      <x:c r="E8" s="102" t="n">
        <x:v>3500</x:v>
      </x:c>
      <x:c r="F8" s="102" t="n">
        <x:v>2500</x:v>
      </x:c>
      <x:c r="G8" s="102" t="n">
        <x:v>250</x:v>
      </x:c>
      <x:c r="H8" s="102" t="n">
        <x:v>250</x:v>
      </x:c>
      <x:c r="I8" s="107" t="n">
        <x:f>SUM(E8:H8)</x:f>
        <x:v>6500</x:v>
      </x:c>
      <x:c r="J8" s="108" t="n">
        <x:v>1250</x:v>
      </x:c>
      <x:c r="K8" s="87" t="n">
        <x:f>D8-I8-J8</x:f>
        <x:v>-250</x:v>
      </x:c>
      <x:c r="L8" s="69"/>
      <x:c r="M8" s="69"/>
      <x:c r="N8" s="69"/>
    </x:row>
    <x:row r="9">
      <x:c r="C9" s="79" t="str">
        <x:v>Active weighted sale proceeds</x:v>
      </x:c>
      <x:c r="D9" s="109" t="n">
        <x:f>(3*D6+D7+D8)/5</x:f>
        <x:v>7300</x:v>
      </x:c>
      <x:c r="E9" s="110" t="str">
        <x:v>Used by the Forecast sheet.</x:v>
      </x:c>
      <x:c r="F9" s="69"/>
      <x:c r="G9" s="69"/>
      <x:c r="H9" s="69"/>
      <x:c r="I9" s="69"/>
      <x:c r="J9" s="69"/>
      <x:c r="K9" s="69"/>
      <x:c r="L9" s="69"/>
      <x:c r="M9" s="69"/>
      <x:c r="N9" s="69"/>
    </x:row>
    <x:row r="10">
      <x:c r="C10" s="130" t="str">
        <x:v>Active weighted cash cost</x:v>
      </x:c>
      <x:c r="D10" s="131" t="n">
        <x:f>(3*I6+I7+I8)/5</x:f>
        <x:v>6950</x:v>
      </x:c>
      <x:c r="E10" s="132" t="str">
        <x:v>Used by the Forecast sheet.</x:v>
      </x:c>
      <x:c r="F10" s="69"/>
      <x:c r="G10" s="69"/>
      <x:c r="H10" s="69"/>
      <x:c r="I10" s="69"/>
      <x:c r="J10" s="69"/>
      <x:c r="K10" s="69"/>
      <x:c r="L10" s="69"/>
      <x:c r="M10" s="69"/>
      <x:c r="N10" s="69"/>
    </x:row>
    <x:row r="11">
      <x:c r="C11" s="100" t="str">
        <x:v>Active weighted economic labor</x:v>
      </x:c>
      <x:c r="D11" s="107" t="n">
        <x:f>(3*J6+J7+J8)/5</x:f>
        <x:v>1600</x:v>
      </x:c>
      <x:c r="E11" s="112" t="str">
        <x:v>Used by the Forecast sheet.</x:v>
      </x:c>
      <x:c r="F11" s="69"/>
      <x:c r="G11" s="69"/>
      <x:c r="H11" s="69"/>
      <x:c r="I11" s="69"/>
      <x:c r="J11" s="69"/>
      <x:c r="K11" s="69"/>
      <x:c r="L11" s="69"/>
      <x:c r="M11" s="69"/>
      <x:c r="N11" s="69"/>
    </x:row>
    <x:row r="12">
      <x:c r="C12" s="85" t="str">
        <x:v>Average cash cost</x:v>
      </x:c>
      <x:c r="D12" s="87" t="n">
        <x:f>(3*I6+I7+I8)/5</x:f>
        <x:v>6950</x:v>
      </x:c>
      <x:c r="E12" s="113" t="str">
        <x:v>Used in cash funding limit and operating cash surplus.</x:v>
      </x:c>
      <x:c r="F12" s="69"/>
      <x:c r="G12" s="69"/>
      <x:c r="H12" s="69"/>
      <x:c r="I12" s="69"/>
      <x:c r="J12" s="69"/>
      <x:c r="K12" s="69"/>
      <x:c r="L12" s="69"/>
      <x:c r="M12" s="69"/>
      <x:c r="N12" s="69"/>
    </x:row>
    <x:row r="13">
      <x:c r="C13" s="100" t="str">
        <x:v>Average economic labor</x:v>
      </x:c>
      <x:c r="D13" s="107" t="n">
        <x:f>(3*J6+J7+J8)/5</x:f>
        <x:v>1600</x:v>
      </x:c>
      <x:c r="E13" s="112" t="str">
        <x:v>Separate economic allowance; not an extra cash outlay unless paid.</x:v>
      </x:c>
      <x:c r="F13" s="69"/>
      <x:c r="G13" s="69"/>
      <x:c r="H13" s="69"/>
      <x:c r="I13" s="69"/>
      <x:c r="J13" s="69"/>
      <x:c r="K13" s="69"/>
      <x:c r="L13" s="69"/>
      <x:c r="M13" s="69"/>
      <x:c r="N13" s="69"/>
    </x:row>
    <x:row r="15" ht="50" customHeight="1">
      <x:c r="C15" s="135" t="str">
        <x:v>Upper resale reference</x:v>
      </x:c>
      <x:c r="D15" s="135" t="str">
        <x:v>Asking price / input</x:v>
      </x:c>
      <x:c r="E15" s="135" t="str">
        <x:v>Source</x:v>
      </x:c>
      <x:c r="F15" s="135" t="str">
        <x:v>Match limit</x:v>
      </x:c>
      <x:c r="G15" s="135" t="str">
        <x:v>Checked</x:v>
      </x:c>
    </x:row>
    <x:row r="16" ht="50" customHeight="1">
      <x:c r="C16" s="15" t="str">
        <x:v>2007 Weekend Warrior Superlite FS2500</x:v>
      </x:c>
      <x:c r="D16" s="138" t="n">
        <x:v>11000</x:v>
      </x:c>
      <x:c r="E16" s="15" t="str">
        <x:v>https://offerup.com/item/detail/3f0e184d-2d76-3dc8-baff-bcae8cf9ef48</x:v>
      </x:c>
      <x:c r="F16" s="15" t="str">
        <x:v>Santa Ana; seller ask, availability/date not established</x:v>
      </x:c>
      <x:c r="G16" s="15" t="str">
        <x:v>2026-09-18</x:v>
      </x:c>
    </x:row>
    <x:row r="17" ht="50" customHeight="1">
      <x:c r="C17" s="15" t="str">
        <x:v>2010 Ranger 800 XP Browning LE</x:v>
      </x:c>
      <x:c r="D17" s="138" t="n">
        <x:v>6900</x:v>
      </x:c>
      <x:c r="E17" s="15" t="str">
        <x:v>https://www.carcorralpolaris.com/Pre-owned-Inventory-2010-Polaris-Utility-Vehicle-Ranger-800-XP-Browning-Pursuit-LE-Flora-14780176</x:v>
      </x:c>
      <x:c r="F17" s="15" t="str">
        <x:v>Illinois dealer; hours/miles not specified</x:v>
      </x:c>
      <x:c r="G17" s="15" t="str">
        <x:v>2026-09-18</x:v>
      </x:c>
    </x:row>
    <x:row r="18" ht="50" customHeight="1">
      <x:c r="C18" s="15" t="str">
        <x:v>Pioneer 700-4 class</x:v>
      </x:c>
      <x:c r="D18" s="138" t="n">
        <x:v>8600</x:v>
      </x:c>
      <x:c r="E18" s="15" t="str">
        <x:v>https://jimtrenarymotorsports.autoshot.com/used-motorcycle-atv-st-louis?rmake=Honda</x:v>
      </x:c>
      <x:c r="F18" s="15" t="str">
        <x:v>Rounded below $8,699 ask; 2015, Missouri; owned trim unknown</x:v>
      </x:c>
      <x:c r="G18" s="15" t="str">
        <x:v>2026-09-18</x:v>
      </x:c>
    </x:row>
    <x:row r="19" ht="50" customHeight="1">
      <x:c r="C19" s="15" t="str">
        <x:v>Upper weighted sale assumption</x:v>
      </x:c>
      <x:c r="D19" s="136" t="n">
        <x:f>(3*D16+D17+D18)/5</x:f>
        <x:v>9700</x:v>
      </x:c>
      <x:c r="E19" s="15"/>
      <x:c r="F19" s="15"/>
      <x:c r="G19" s="15"/>
    </x:row>
    <x:row r="20" ht="50" customHeight="1">
      <x:c r="C20" s="15" t="str">
        <x:v>3:1:1 hypothetical mix, not actual inventory. Ask prices are not sales. The same acquisition, repair, time and two-month cycle are retained in the upside.</x:v>
      </x:c>
      <x:c r="D20" s="15"/>
      <x:c r="E20" s="15"/>
      <x:c r="F20" s="15"/>
      <x:c r="G20" s="15"/>
    </x:row>
  </x:sheetData>
  <x:mergeCells>
    <x:mergeCell ref="C2:N2"/>
    <x:mergeCell ref="C3:N3"/>
    <x:mergeCell ref="C20:G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" hidden="0" customWidth="1"/>
    <x:col min="3" max="3" width="3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2">
      <x:c r="C2" s="67" t="str">
        <x:v>Unit record: complete before a purchase or sale decision</x:v>
      </x:c>
      <x:c r="D2" s="67"/>
      <x:c r="E2" s="67"/>
      <x:c r="F2" s="67"/>
      <x:c r="G2" s="67"/>
      <x:c r="H2" s="67"/>
      <x:c r="I2" s="67"/>
      <x:c r="J2" s="67"/>
      <x:c r="K2" s="67"/>
      <x:c r="L2" s="67"/>
      <x:c r="M2" s="67"/>
      <x:c r="N2" s="67"/>
    </x:row>
    <x:row r="3">
      <x:c r="C3" s="68" t="str">
        <x:v>Blank, client-safe template. One row per actual unit. It does not feed the illustrative forecast; use it to replace assumptions with evidence.</x:v>
      </x:c>
      <x:c r="D3" s="68"/>
      <x:c r="E3" s="68"/>
      <x:c r="F3" s="68"/>
      <x:c r="G3" s="68"/>
      <x:c r="H3" s="68"/>
      <x:c r="I3" s="68"/>
      <x:c r="J3" s="68"/>
      <x:c r="K3" s="68"/>
      <x:c r="L3" s="68"/>
      <x:c r="M3" s="68"/>
      <x:c r="N3" s="68"/>
    </x:row>
    <x:row r="4">
      <x:c r="C4" s="69"/>
      <x:c r="D4" s="69"/>
      <x:c r="E4" s="69"/>
      <x:c r="F4" s="69"/>
      <x:c r="G4" s="69"/>
      <x:c r="H4" s="69"/>
      <x:c r="I4" s="69"/>
      <x:c r="J4" s="69"/>
      <x:c r="K4" s="69"/>
      <x:c r="L4" s="69"/>
      <x:c r="M4" s="69"/>
      <x:c r="N4" s="69"/>
    </x:row>
    <x:row r="5">
      <x:c r="C5" s="104" t="str">
        <x:v>Unit ID / description</x:v>
      </x:c>
      <x:c r="D5" s="105" t="str">
        <x:v>Ownership / title evidence</x:v>
      </x:c>
      <x:c r="E5" s="105" t="str">
        <x:v>Purchase date</x:v>
      </x:c>
      <x:c r="F5" s="105" t="str">
        <x:v>Purchase cash</x:v>
      </x:c>
      <x:c r="G5" s="105" t="str">
        <x:v>Parts / outside repair</x:v>
      </x:c>
      <x:c r="H5" s="105" t="str">
        <x:v>Transport / title / selling</x:v>
      </x:c>
      <x:c r="I5" s="105" t="str">
        <x:v>Contingency</x:v>
      </x:c>
      <x:c r="J5" s="105" t="str">
        <x:v>Sale date</x:v>
      </x:c>
      <x:c r="K5" s="105" t="str">
        <x:v>Sale proceeds</x:v>
      </x:c>
      <x:c r="L5" s="105" t="str">
        <x:v>Economic labor hours</x:v>
      </x:c>
      <x:c r="M5" s="105" t="str">
        <x:v>Labor allowance</x:v>
      </x:c>
      <x:c r="N5" s="106" t="str">
        <x:v>Evidence status</x:v>
      </x:c>
    </x:row>
    <x:row r="6">
      <x:c r="C6" s="114"/>
      <x:c r="D6" s="115"/>
      <x:c r="E6" s="115"/>
      <x:c r="F6" s="72"/>
      <x:c r="G6" s="72"/>
      <x:c r="H6" s="72"/>
      <x:c r="I6" s="72"/>
      <x:c r="J6" s="115"/>
      <x:c r="K6" s="115"/>
      <x:c r="L6" s="72"/>
      <x:c r="M6" s="115"/>
      <x:c r="N6" s="113" t="str">
        <x:v>Enter records</x:v>
      </x:c>
    </x:row>
    <x:row r="7">
      <x:c r="C7" s="114"/>
      <x:c r="D7" s="115"/>
      <x:c r="E7" s="115"/>
      <x:c r="F7" s="72"/>
      <x:c r="G7" s="72"/>
      <x:c r="H7" s="72"/>
      <x:c r="I7" s="72"/>
      <x:c r="J7" s="115"/>
      <x:c r="K7" s="115"/>
      <x:c r="L7" s="72"/>
      <x:c r="M7" s="115"/>
      <x:c r="N7" s="113" t="str">
        <x:v>Enter records</x:v>
      </x:c>
    </x:row>
    <x:row r="8">
      <x:c r="C8" s="114"/>
      <x:c r="D8" s="115"/>
      <x:c r="E8" s="115"/>
      <x:c r="F8" s="72"/>
      <x:c r="G8" s="72"/>
      <x:c r="H8" s="72"/>
      <x:c r="I8" s="72"/>
      <x:c r="J8" s="115"/>
      <x:c r="K8" s="115"/>
      <x:c r="L8" s="72"/>
      <x:c r="M8" s="115"/>
      <x:c r="N8" s="113" t="str">
        <x:v>Enter records</x:v>
      </x:c>
    </x:row>
    <x:row r="9">
      <x:c r="C9" s="114"/>
      <x:c r="D9" s="115"/>
      <x:c r="E9" s="115"/>
      <x:c r="F9" s="72"/>
      <x:c r="G9" s="72"/>
      <x:c r="H9" s="72"/>
      <x:c r="I9" s="72"/>
      <x:c r="J9" s="115"/>
      <x:c r="K9" s="115"/>
      <x:c r="L9" s="72"/>
      <x:c r="M9" s="115"/>
      <x:c r="N9" s="113" t="str">
        <x:v>Enter records</x:v>
      </x:c>
    </x:row>
    <x:row r="10">
      <x:c r="C10" s="114"/>
      <x:c r="D10" s="115"/>
      <x:c r="E10" s="115"/>
      <x:c r="F10" s="72"/>
      <x:c r="G10" s="72"/>
      <x:c r="H10" s="72"/>
      <x:c r="I10" s="72"/>
      <x:c r="J10" s="115"/>
      <x:c r="K10" s="115"/>
      <x:c r="L10" s="72"/>
      <x:c r="M10" s="115"/>
      <x:c r="N10" s="113" t="str">
        <x:v>Enter records</x:v>
      </x:c>
    </x:row>
    <x:row r="11">
      <x:c r="C11" s="114"/>
      <x:c r="D11" s="115"/>
      <x:c r="E11" s="115"/>
      <x:c r="F11" s="72"/>
      <x:c r="G11" s="72"/>
      <x:c r="H11" s="72"/>
      <x:c r="I11" s="72"/>
      <x:c r="J11" s="115"/>
      <x:c r="K11" s="115"/>
      <x:c r="L11" s="72"/>
      <x:c r="M11" s="115"/>
      <x:c r="N11" s="113" t="str">
        <x:v>Enter records</x:v>
      </x:c>
    </x:row>
    <x:row r="12">
      <x:c r="C12" s="114"/>
      <x:c r="D12" s="115"/>
      <x:c r="E12" s="115"/>
      <x:c r="F12" s="72"/>
      <x:c r="G12" s="72"/>
      <x:c r="H12" s="72"/>
      <x:c r="I12" s="72"/>
      <x:c r="J12" s="115"/>
      <x:c r="K12" s="115"/>
      <x:c r="L12" s="72"/>
      <x:c r="M12" s="115"/>
      <x:c r="N12" s="113" t="str">
        <x:v>Enter records</x:v>
      </x:c>
    </x:row>
    <x:row r="13">
      <x:c r="C13" s="114"/>
      <x:c r="D13" s="115"/>
      <x:c r="E13" s="115"/>
      <x:c r="F13" s="72"/>
      <x:c r="G13" s="72"/>
      <x:c r="H13" s="72"/>
      <x:c r="I13" s="72"/>
      <x:c r="J13" s="115"/>
      <x:c r="K13" s="115"/>
      <x:c r="L13" s="72"/>
      <x:c r="M13" s="115"/>
      <x:c r="N13" s="113" t="str">
        <x:v>Enter records</x:v>
      </x:c>
    </x:row>
    <x:row r="14">
      <x:c r="C14" s="114"/>
      <x:c r="D14" s="115"/>
      <x:c r="E14" s="115"/>
      <x:c r="F14" s="72"/>
      <x:c r="G14" s="72"/>
      <x:c r="H14" s="72"/>
      <x:c r="I14" s="72"/>
      <x:c r="J14" s="115"/>
      <x:c r="K14" s="115"/>
      <x:c r="L14" s="72"/>
      <x:c r="M14" s="115"/>
      <x:c r="N14" s="113" t="str">
        <x:v>Enter records</x:v>
      </x:c>
    </x:row>
    <x:row r="15">
      <x:c r="C15" s="114"/>
      <x:c r="D15" s="115"/>
      <x:c r="E15" s="115"/>
      <x:c r="F15" s="72"/>
      <x:c r="G15" s="72"/>
      <x:c r="H15" s="72"/>
      <x:c r="I15" s="72"/>
      <x:c r="J15" s="115"/>
      <x:c r="K15" s="115"/>
      <x:c r="L15" s="72"/>
      <x:c r="M15" s="115"/>
      <x:c r="N15" s="113" t="str">
        <x:v>Enter records</x:v>
      </x:c>
    </x:row>
    <x:row r="16">
      <x:c r="C16" s="114"/>
      <x:c r="D16" s="115"/>
      <x:c r="E16" s="115"/>
      <x:c r="F16" s="72"/>
      <x:c r="G16" s="72"/>
      <x:c r="H16" s="72"/>
      <x:c r="I16" s="72"/>
      <x:c r="J16" s="115"/>
      <x:c r="K16" s="115"/>
      <x:c r="L16" s="72"/>
      <x:c r="M16" s="115"/>
      <x:c r="N16" s="113" t="str">
        <x:v>Enter records</x:v>
      </x:c>
    </x:row>
    <x:row r="17">
      <x:c r="C17" s="114"/>
      <x:c r="D17" s="115"/>
      <x:c r="E17" s="115"/>
      <x:c r="F17" s="72"/>
      <x:c r="G17" s="72"/>
      <x:c r="H17" s="72"/>
      <x:c r="I17" s="72"/>
      <x:c r="J17" s="115"/>
      <x:c r="K17" s="115"/>
      <x:c r="L17" s="72"/>
      <x:c r="M17" s="115"/>
      <x:c r="N17" s="113" t="str">
        <x:v>Enter records</x:v>
      </x:c>
    </x:row>
    <x:row r="18">
      <x:c r="C18" s="116"/>
      <x:c r="D18" s="117"/>
      <x:c r="E18" s="117"/>
      <x:c r="F18" s="102"/>
      <x:c r="G18" s="102"/>
      <x:c r="H18" s="102"/>
      <x:c r="I18" s="102"/>
      <x:c r="J18" s="117"/>
      <x:c r="K18" s="117"/>
      <x:c r="L18" s="102"/>
      <x:c r="M18" s="117"/>
      <x:c r="N18" s="112" t="str">
        <x:v>Enter records</x:v>
      </x:c>
    </x:row>
    <x:row r="19">
      <x:c r="C19" s="69"/>
      <x:c r="D19" s="69"/>
      <x:c r="E19" s="69"/>
      <x:c r="F19" s="69"/>
      <x:c r="G19" s="69"/>
      <x:c r="H19" s="69"/>
      <x:c r="I19" s="69"/>
      <x:c r="J19" s="69"/>
      <x:c r="K19" s="69"/>
      <x:c r="L19" s="69"/>
      <x:c r="M19" s="69"/>
      <x:c r="N19" s="69"/>
    </x:row>
    <x:row r="20">
      <x:c r="C20" s="118" t="str">
        <x:v>Required evidence before treating a result as actual: ownership/title status, purchase document, condition and repair scope, parts/outside-repair receipts, transport/title/selling costs, sale evidence, and timing. Customer sales tax is not revenue.</x:v>
      </x:c>
      <x:c r="D20" s="118"/>
      <x:c r="E20" s="118"/>
      <x:c r="F20" s="118"/>
      <x:c r="G20" s="118"/>
      <x:c r="H20" s="118"/>
      <x:c r="I20" s="118"/>
      <x:c r="J20" s="118"/>
      <x:c r="K20" s="118"/>
      <x:c r="L20" s="118"/>
      <x:c r="M20" s="118"/>
      <x:c r="N20" s="118"/>
    </x:row>
    <x:row r="21">
      <x:c r="C21" s="118"/>
      <x:c r="D21" s="118"/>
      <x:c r="E21" s="118"/>
      <x:c r="F21" s="118"/>
      <x:c r="G21" s="118"/>
      <x:c r="H21" s="118"/>
      <x:c r="I21" s="118"/>
      <x:c r="J21" s="118"/>
      <x:c r="K21" s="118"/>
      <x:c r="L21" s="118"/>
      <x:c r="M21" s="118"/>
      <x:c r="N21" s="118"/>
    </x:row>
    <x:row r="22">
      <x:c r="C22" s="118"/>
      <x:c r="D22" s="118"/>
      <x:c r="E22" s="118"/>
      <x:c r="F22" s="118"/>
      <x:c r="G22" s="118"/>
      <x:c r="H22" s="118"/>
      <x:c r="I22" s="118"/>
      <x:c r="J22" s="118"/>
      <x:c r="K22" s="118"/>
      <x:c r="L22" s="118"/>
      <x:c r="M22" s="118"/>
      <x:c r="N22" s="118"/>
    </x:row>
    <x:row r="23">
      <x:c r="C23" s="118"/>
      <x:c r="D23" s="118"/>
      <x:c r="E23" s="118"/>
      <x:c r="F23" s="118"/>
      <x:c r="G23" s="118"/>
      <x:c r="H23" s="118"/>
      <x:c r="I23" s="118"/>
      <x:c r="J23" s="118"/>
      <x:c r="K23" s="118"/>
      <x:c r="L23" s="118"/>
      <x:c r="M23" s="118"/>
      <x:c r="N23" s="118"/>
    </x:row>
  </x:sheetData>
  <x:mergeCells>
    <x:mergeCell ref="C2:N2"/>
    <x:mergeCell ref="C3:N3"/>
    <x:mergeCell ref="C20:N2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4A6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42" hidden="0" customWidth="1"/>
    <x:col min="3" max="3" width="1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2" ht="23" customHeight="1">
      <x:c r="B2" s="142" t="str">
        <x:v>EDM Overhaulers | planning inputs</x:v>
      </x:c>
      <x:c r="C2" s="141"/>
      <x:c r="D2" s="141"/>
      <x:c r="E2" s="141"/>
      <x:c r="F2" s="141"/>
      <x:c r="G2" s="141"/>
      <x:c r="H2" s="141"/>
    </x:row>
    <x:row r="3" ht="23" customHeight="1">
      <x:c r="B3" s="141"/>
      <x:c r="C3" s="141"/>
      <x:c r="D3" s="141"/>
      <x:c r="E3" s="141"/>
      <x:c r="F3" s="141"/>
      <x:c r="G3" s="141"/>
      <x:c r="H3" s="141"/>
    </x:row>
    <x:row r="4" ht="23" customHeight="1">
      <x:c r="B4" s="141" t="str">
        <x:v>Case selected: 1 Lower / 2 Working / 3 Ambitious</x:v>
      </x:c>
      <x:c r="C4" s="147" t="n">
        <x:v>2</x:v>
      </x:c>
      <x:c r="D4" s="141" t="str">
        <x:f>CHOOSE(C4,"Lower","Working","Ambitious")</x:f>
        <x:v>Working</x:v>
      </x:c>
      <x:c r="E4" s="141"/>
      <x:c r="F4" s="141"/>
      <x:c r="G4" s="141"/>
      <x:c r="H4" s="141"/>
    </x:row>
    <x:row r="5" ht="23" customHeight="1">
      <x:c r="B5" s="141"/>
      <x:c r="C5" s="141"/>
      <x:c r="D5" s="141"/>
      <x:c r="E5" s="141"/>
      <x:c r="F5" s="141"/>
      <x:c r="G5" s="141"/>
      <x:c r="H5" s="141"/>
    </x:row>
    <x:row r="6" ht="23" customHeight="1">
      <x:c r="B6" s="145" t="str">
        <x:v>Driver</x:v>
      </x:c>
      <x:c r="C6" s="145" t="str">
        <x:v>Unit</x:v>
      </x:c>
      <x:c r="D6" s="145" t="str">
        <x:v>Year 1</x:v>
      </x:c>
      <x:c r="E6" s="145" t="str">
        <x:v>Year 2</x:v>
      </x:c>
      <x:c r="F6" s="145" t="str">
        <x:v>Year 3</x:v>
      </x:c>
      <x:c r="G6" s="145" t="str">
        <x:v>Year 4</x:v>
      </x:c>
      <x:c r="H6" s="145" t="str">
        <x:v>Year 5</x:v>
      </x:c>
    </x:row>
    <x:row r="7" ht="23" customHeight="1">
      <x:c r="B7" s="158" t="str">
        <x:v>Monthly completed flips — active</x:v>
      </x:c>
      <x:c r="C7" s="158" t="str">
        <x:v>units</x:v>
      </x:c>
      <x:c r="D7" s="160" t="n">
        <x:f>CHOOSE($C$4,IF(COUNT(D8)=1,D8,"n.a."),IF(COUNT(D9)=1,D9,"n.a."),IF(COUNT(D10)=1,D10,"n.a."))</x:f>
        <x:v>4</x:v>
      </x:c>
      <x:c r="E7" s="160" t="n">
        <x:f>CHOOSE($C$4,IF(COUNT(E8)=1,E8,"n.a."),IF(COUNT(E9)=1,E9,"n.a."),IF(COUNT(E10)=1,E10,"n.a."))</x:f>
        <x:v>6</x:v>
      </x:c>
      <x:c r="F7" s="160" t="n">
        <x:f>CHOOSE($C$4,IF(COUNT(F8)=1,F8,"n.a."),IF(COUNT(F9)=1,F9,"n.a."),IF(COUNT(F10)=1,F10,"n.a."))</x:f>
        <x:v>8</x:v>
      </x:c>
      <x:c r="G7" s="160" t="n">
        <x:f>CHOOSE($C$4,IF(COUNT(G8)=1,G8,"n.a."),IF(COUNT(G9)=1,G9,"n.a."),IF(COUNT(G10)=1,G10,"n.a."))</x:f>
        <x:v>10</x:v>
      </x:c>
      <x:c r="H7" s="160" t="n">
        <x:f>CHOOSE($C$4,IF(COUNT(H8)=1,H8,"n.a."),IF(COUNT(H9)=1,H9,"n.a."),IF(COUNT(H10)=1,H10,"n.a."))</x:f>
        <x:v>12</x:v>
      </x:c>
    </x:row>
    <x:row r="8" ht="23" customHeight="1">
      <x:c r="B8" s="141" t="str">
        <x:v>Lower</x:v>
      </x:c>
      <x:c r="C8" s="141"/>
      <x:c r="D8" s="161" t="n">
        <x:v>4</x:v>
      </x:c>
      <x:c r="E8" s="161" t="n">
        <x:v>4</x:v>
      </x:c>
      <x:c r="F8" s="161" t="n">
        <x:v>4</x:v>
      </x:c>
      <x:c r="G8" s="161" t="n">
        <x:v>4</x:v>
      </x:c>
      <x:c r="H8" s="161" t="n">
        <x:v>4</x:v>
      </x:c>
    </x:row>
    <x:row r="9" ht="23" customHeight="1">
      <x:c r="B9" s="141" t="str">
        <x:v>Working</x:v>
      </x:c>
      <x:c r="C9" s="141"/>
      <x:c r="D9" s="161" t="n">
        <x:v>4</x:v>
      </x:c>
      <x:c r="E9" s="161" t="n">
        <x:v>6</x:v>
      </x:c>
      <x:c r="F9" s="161" t="n">
        <x:v>8</x:v>
      </x:c>
      <x:c r="G9" s="161" t="n">
        <x:v>10</x:v>
      </x:c>
      <x:c r="H9" s="161" t="n">
        <x:v>12</x:v>
      </x:c>
    </x:row>
    <x:row r="10" ht="23" customHeight="1">
      <x:c r="B10" s="141" t="str">
        <x:v>Ambitious</x:v>
      </x:c>
      <x:c r="C10" s="141"/>
      <x:c r="D10" s="161" t="n">
        <x:v>8</x:v>
      </x:c>
      <x:c r="E10" s="161" t="n">
        <x:v>12</x:v>
      </x:c>
      <x:c r="F10" s="161" t="n">
        <x:v>16</x:v>
      </x:c>
      <x:c r="G10" s="161" t="n">
        <x:v>20</x:v>
      </x:c>
      <x:c r="H10" s="161" t="n">
        <x:v>24</x:v>
      </x:c>
    </x:row>
    <x:row r="11" ht="23" customHeight="1">
      <x:c r="B11" s="141"/>
      <x:c r="C11" s="141"/>
      <x:c r="D11" s="141"/>
      <x:c r="E11" s="141"/>
      <x:c r="F11" s="141"/>
      <x:c r="G11" s="141"/>
      <x:c r="H11" s="141"/>
    </x:row>
    <x:row r="12" ht="23" customHeight="1">
      <x:c r="B12" s="158" t="str">
        <x:v>Price per unit / client — active</x:v>
      </x:c>
      <x:c r="C12" s="158" t="str">
        <x:v>USD</x:v>
      </x:c>
      <x:c r="D12" s="162" t="n">
        <x:f>CHOOSE($C$4,IF(COUNT(D13)=1,D13,"n.a."),IF(COUNT(D14)=1,D14,"n.a."),IF(COUNT(D15)=1,D15,"n.a."))</x:f>
        <x:v>6825</x:v>
      </x:c>
      <x:c r="E12" s="162" t="n">
        <x:f>CHOOSE($C$4,IF(COUNT(E13)=1,E13,"n.a."),IF(COUNT(E14)=1,E14,"n.a."),IF(COUNT(E15)=1,E15,"n.a."))</x:f>
        <x:v>6825</x:v>
      </x:c>
      <x:c r="F12" s="162" t="n">
        <x:f>CHOOSE($C$4,IF(COUNT(F13)=1,F13,"n.a."),IF(COUNT(F14)=1,F14,"n.a."),IF(COUNT(F15)=1,F15,"n.a."))</x:f>
        <x:v>6825</x:v>
      </x:c>
      <x:c r="G12" s="162" t="n">
        <x:f>CHOOSE($C$4,IF(COUNT(G13)=1,G13,"n.a."),IF(COUNT(G14)=1,G14,"n.a."),IF(COUNT(G15)=1,G15,"n.a."))</x:f>
        <x:v>6825</x:v>
      </x:c>
      <x:c r="H12" s="162" t="n">
        <x:f>CHOOSE($C$4,IF(COUNT(H13)=1,H13,"n.a."),IF(COUNT(H14)=1,H14,"n.a."),IF(COUNT(H15)=1,H15,"n.a."))</x:f>
        <x:v>6825</x:v>
      </x:c>
    </x:row>
    <x:row r="13" ht="23" customHeight="1">
      <x:c r="B13" s="141" t="str">
        <x:v>Lower</x:v>
      </x:c>
      <x:c r="C13" s="141"/>
      <x:c r="D13" s="163" t="n">
        <x:f>'Unit economics'!$D$13*0.9</x:f>
        <x:v>6142.5</x:v>
      </x:c>
      <x:c r="E13" s="163" t="n">
        <x:f>'Unit economics'!$D$13*0.9</x:f>
        <x:v>6142.5</x:v>
      </x:c>
      <x:c r="F13" s="163" t="n">
        <x:f>'Unit economics'!$D$13*0.9</x:f>
        <x:v>6142.5</x:v>
      </x:c>
      <x:c r="G13" s="163" t="n">
        <x:f>'Unit economics'!$D$13*0.9</x:f>
        <x:v>6142.5</x:v>
      </x:c>
      <x:c r="H13" s="163" t="n">
        <x:f>'Unit economics'!$D$13*0.9</x:f>
        <x:v>6142.5</x:v>
      </x:c>
    </x:row>
    <x:row r="14" ht="23" customHeight="1">
      <x:c r="B14" s="141" t="str">
        <x:v>Working</x:v>
      </x:c>
      <x:c r="C14" s="141"/>
      <x:c r="D14" s="163" t="n">
        <x:f>'Unit economics'!$D$13*1</x:f>
        <x:v>6825</x:v>
      </x:c>
      <x:c r="E14" s="163" t="n">
        <x:f>'Unit economics'!$D$13*1</x:f>
        <x:v>6825</x:v>
      </x:c>
      <x:c r="F14" s="163" t="n">
        <x:f>'Unit economics'!$D$13*1</x:f>
        <x:v>6825</x:v>
      </x:c>
      <x:c r="G14" s="163" t="n">
        <x:f>'Unit economics'!$D$13*1</x:f>
        <x:v>6825</x:v>
      </x:c>
      <x:c r="H14" s="163" t="n">
        <x:f>'Unit economics'!$D$13*1</x:f>
        <x:v>6825</x:v>
      </x:c>
    </x:row>
    <x:row r="15" ht="23" customHeight="1">
      <x:c r="B15" s="141" t="str">
        <x:v>Ambitious</x:v>
      </x:c>
      <x:c r="C15" s="141"/>
      <x:c r="D15" s="163" t="n">
        <x:f>'Unit economics'!$D$13*1</x:f>
        <x:v>6825</x:v>
      </x:c>
      <x:c r="E15" s="163" t="n">
        <x:f>'Unit economics'!$D$13*1</x:f>
        <x:v>6825</x:v>
      </x:c>
      <x:c r="F15" s="163" t="n">
        <x:f>'Unit economics'!$D$13*1</x:f>
        <x:v>6825</x:v>
      </x:c>
      <x:c r="G15" s="163" t="n">
        <x:f>'Unit economics'!$D$13*1</x:f>
        <x:v>6825</x:v>
      </x:c>
      <x:c r="H15" s="163" t="n">
        <x:f>'Unit economics'!$D$13*1</x:f>
        <x:v>6825</x:v>
      </x:c>
    </x:row>
    <x:row r="16" ht="23" customHeight="1">
      <x:c r="B16" s="141"/>
      <x:c r="C16" s="141"/>
      <x:c r="D16" s="141"/>
      <x:c r="E16" s="141"/>
      <x:c r="F16" s="141"/>
      <x:c r="G16" s="141"/>
      <x:c r="H16" s="141"/>
    </x:row>
    <x:row r="17" ht="23" customHeight="1">
      <x:c r="B17" s="158" t="str">
        <x:v>Direct cash per unit — active</x:v>
      </x:c>
      <x:c r="C17" s="158" t="str">
        <x:v>USD</x:v>
      </x:c>
      <x:c r="D17" s="162" t="n">
        <x:f>CHOOSE($C$4,IF(COUNT(D18)=1,D18,"n.a."),IF(COUNT(D19)=1,D19,"n.a."),IF(COUNT(D20)=1,D20,"n.a."))</x:f>
        <x:v>4500</x:v>
      </x:c>
      <x:c r="E17" s="162" t="n">
        <x:f>CHOOSE($C$4,IF(COUNT(E18)=1,E18,"n.a."),IF(COUNT(E19)=1,E19,"n.a."),IF(COUNT(E20)=1,E20,"n.a."))</x:f>
        <x:v>4500</x:v>
      </x:c>
      <x:c r="F17" s="162" t="n">
        <x:f>CHOOSE($C$4,IF(COUNT(F18)=1,F18,"n.a."),IF(COUNT(F19)=1,F19,"n.a."),IF(COUNT(F20)=1,F20,"n.a."))</x:f>
        <x:v>4500</x:v>
      </x:c>
      <x:c r="G17" s="162" t="n">
        <x:f>CHOOSE($C$4,IF(COUNT(G18)=1,G18,"n.a."),IF(COUNT(G19)=1,G19,"n.a."),IF(COUNT(G20)=1,G20,"n.a."))</x:f>
        <x:v>4500</x:v>
      </x:c>
      <x:c r="H17" s="162" t="n">
        <x:f>CHOOSE($C$4,IF(COUNT(H18)=1,H18,"n.a."),IF(COUNT(H19)=1,H19,"n.a."),IF(COUNT(H20)=1,H20,"n.a."))</x:f>
        <x:v>4500</x:v>
      </x:c>
    </x:row>
    <x:row r="18" ht="23" customHeight="1">
      <x:c r="B18" s="141" t="str">
        <x:v>Lower</x:v>
      </x:c>
      <x:c r="C18" s="141"/>
      <x:c r="D18" s="163" t="n">
        <x:f>'Unit economics'!$I$13+'Unit economics'!$F$13*0.30000000000000004+200</x:f>
        <x:v>5127.5</x:v>
      </x:c>
      <x:c r="E18" s="163" t="n">
        <x:f>'Unit economics'!$I$13+'Unit economics'!$F$13*0.30000000000000004+200</x:f>
        <x:v>5127.5</x:v>
      </x:c>
      <x:c r="F18" s="163" t="n">
        <x:f>'Unit economics'!$I$13+'Unit economics'!$F$13*0.30000000000000004+200</x:f>
        <x:v>5127.5</x:v>
      </x:c>
      <x:c r="G18" s="163" t="n">
        <x:f>'Unit economics'!$I$13+'Unit economics'!$F$13*0.30000000000000004+200</x:f>
        <x:v>5127.5</x:v>
      </x:c>
      <x:c r="H18" s="163" t="n">
        <x:f>'Unit economics'!$I$13+'Unit economics'!$F$13*0.30000000000000004+200</x:f>
        <x:v>5127.5</x:v>
      </x:c>
    </x:row>
    <x:row r="19" ht="23" customHeight="1">
      <x:c r="B19" s="141" t="str">
        <x:v>Working</x:v>
      </x:c>
      <x:c r="C19" s="141"/>
      <x:c r="D19" s="163" t="n">
        <x:f>'Unit economics'!$I$13+'Unit economics'!$F$13*0+0</x:f>
        <x:v>4500</x:v>
      </x:c>
      <x:c r="E19" s="163" t="n">
        <x:f>'Unit economics'!$I$13+'Unit economics'!$F$13*0+0</x:f>
        <x:v>4500</x:v>
      </x:c>
      <x:c r="F19" s="163" t="n">
        <x:f>'Unit economics'!$I$13+'Unit economics'!$F$13*0+0</x:f>
        <x:v>4500</x:v>
      </x:c>
      <x:c r="G19" s="163" t="n">
        <x:f>'Unit economics'!$I$13+'Unit economics'!$F$13*0+0</x:f>
        <x:v>4500</x:v>
      </x:c>
      <x:c r="H19" s="163" t="n">
        <x:f>'Unit economics'!$I$13+'Unit economics'!$F$13*0+0</x:f>
        <x:v>4500</x:v>
      </x:c>
    </x:row>
    <x:row r="20" ht="23" customHeight="1">
      <x:c r="B20" s="141" t="str">
        <x:v>Ambitious</x:v>
      </x:c>
      <x:c r="C20" s="141"/>
      <x:c r="D20" s="163" t="n">
        <x:f>'Unit economics'!$I$13+'Unit economics'!$F$13*0+0</x:f>
        <x:v>4500</x:v>
      </x:c>
      <x:c r="E20" s="163" t="n">
        <x:f>'Unit economics'!$I$13+'Unit economics'!$F$13*0+0</x:f>
        <x:v>4500</x:v>
      </x:c>
      <x:c r="F20" s="163" t="n">
        <x:f>'Unit economics'!$I$13+'Unit economics'!$F$13*0+0</x:f>
        <x:v>4500</x:v>
      </x:c>
      <x:c r="G20" s="163" t="n">
        <x:f>'Unit economics'!$I$13+'Unit economics'!$F$13*0+0</x:f>
        <x:v>4500</x:v>
      </x:c>
      <x:c r="H20" s="163" t="n">
        <x:f>'Unit economics'!$I$13+'Unit economics'!$F$13*0+0</x:f>
        <x:v>4500</x:v>
      </x:c>
    </x:row>
    <x:row r="21" ht="23" customHeight="1">
      <x:c r="B21" s="141"/>
      <x:c r="C21" s="141"/>
      <x:c r="D21" s="141"/>
      <x:c r="E21" s="141"/>
      <x:c r="F21" s="141"/>
      <x:c r="G21" s="141"/>
      <x:c r="H21" s="141"/>
    </x:row>
    <x:row r="22" ht="23" customHeight="1">
      <x:c r="B22" s="158" t="str">
        <x:v>Delivery hours per unit — active</x:v>
      </x:c>
      <x:c r="C22" s="158" t="str">
        <x:v>hours</x:v>
      </x:c>
      <x:c r="D22" s="160" t="n">
        <x:f>CHOOSE($C$4,IF(COUNT(D23)=1,D23,"n.a."),IF(COUNT(D24)=1,D24,"n.a."),IF(COUNT(D25)=1,D25,"n.a."))</x:f>
        <x:v>22.5</x:v>
      </x:c>
      <x:c r="E22" s="160" t="n">
        <x:f>CHOOSE($C$4,IF(COUNT(E23)=1,E23,"n.a."),IF(COUNT(E24)=1,E24,"n.a."),IF(COUNT(E25)=1,E25,"n.a."))</x:f>
        <x:v>22.5</x:v>
      </x:c>
      <x:c r="F22" s="160" t="n">
        <x:f>CHOOSE($C$4,IF(COUNT(F23)=1,F23,"n.a."),IF(COUNT(F24)=1,F24,"n.a."),IF(COUNT(F25)=1,F25,"n.a."))</x:f>
        <x:v>22.5</x:v>
      </x:c>
      <x:c r="G22" s="160" t="n">
        <x:f>CHOOSE($C$4,IF(COUNT(G23)=1,G23,"n.a."),IF(COUNT(G24)=1,G24,"n.a."),IF(COUNT(G25)=1,G25,"n.a."))</x:f>
        <x:v>22.5</x:v>
      </x:c>
      <x:c r="H22" s="160" t="n">
        <x:f>CHOOSE($C$4,IF(COUNT(H23)=1,H23,"n.a."),IF(COUNT(H24)=1,H24,"n.a."),IF(COUNT(H25)=1,H25,"n.a."))</x:f>
        <x:v>22.5</x:v>
      </x:c>
    </x:row>
    <x:row r="23" ht="23" customHeight="1">
      <x:c r="B23" s="141" t="str">
        <x:v>Lower</x:v>
      </x:c>
      <x:c r="C23" s="141"/>
      <x:c r="D23" s="161" t="n">
        <x:f>'Unit economics'!$J$13</x:f>
        <x:v>22.5</x:v>
      </x:c>
      <x:c r="E23" s="161" t="n">
        <x:f>'Unit economics'!$J$13</x:f>
        <x:v>22.5</x:v>
      </x:c>
      <x:c r="F23" s="161" t="n">
        <x:f>'Unit economics'!$J$13</x:f>
        <x:v>22.5</x:v>
      </x:c>
      <x:c r="G23" s="161" t="n">
        <x:f>'Unit economics'!$J$13</x:f>
        <x:v>22.5</x:v>
      </x:c>
      <x:c r="H23" s="161" t="n">
        <x:f>'Unit economics'!$J$13</x:f>
        <x:v>22.5</x:v>
      </x:c>
    </x:row>
    <x:row r="24" ht="23" customHeight="1">
      <x:c r="B24" s="141" t="str">
        <x:v>Working</x:v>
      </x:c>
      <x:c r="C24" s="141"/>
      <x:c r="D24" s="161" t="n">
        <x:f>'Unit economics'!$J$13</x:f>
        <x:v>22.5</x:v>
      </x:c>
      <x:c r="E24" s="161" t="n">
        <x:f>'Unit economics'!$J$13</x:f>
        <x:v>22.5</x:v>
      </x:c>
      <x:c r="F24" s="161" t="n">
        <x:f>'Unit economics'!$J$13</x:f>
        <x:v>22.5</x:v>
      </x:c>
      <x:c r="G24" s="161" t="n">
        <x:f>'Unit economics'!$J$13</x:f>
        <x:v>22.5</x:v>
      </x:c>
      <x:c r="H24" s="161" t="n">
        <x:f>'Unit economics'!$J$13</x:f>
        <x:v>22.5</x:v>
      </x:c>
    </x:row>
    <x:row r="25" ht="23" customHeight="1">
      <x:c r="B25" s="141" t="str">
        <x:v>Ambitious</x:v>
      </x:c>
      <x:c r="C25" s="141"/>
      <x:c r="D25" s="161" t="n">
        <x:f>'Unit economics'!$J$13</x:f>
        <x:v>22.5</x:v>
      </x:c>
      <x:c r="E25" s="161" t="n">
        <x:f>'Unit economics'!$J$13</x:f>
        <x:v>22.5</x:v>
      </x:c>
      <x:c r="F25" s="161" t="n">
        <x:f>'Unit economics'!$J$13</x:f>
        <x:v>22.5</x:v>
      </x:c>
      <x:c r="G25" s="161" t="n">
        <x:f>'Unit economics'!$J$13</x:f>
        <x:v>22.5</x:v>
      </x:c>
      <x:c r="H25" s="161" t="n">
        <x:f>'Unit economics'!$J$13</x:f>
        <x:v>22.5</x:v>
      </x:c>
    </x:row>
    <x:row r="26" ht="23" customHeight="1">
      <x:c r="B26" s="141"/>
      <x:c r="C26" s="141"/>
      <x:c r="D26" s="141"/>
      <x:c r="E26" s="141"/>
      <x:c r="F26" s="141"/>
      <x:c r="G26" s="141"/>
      <x:c r="H26" s="141"/>
    </x:row>
    <x:row r="27" ht="23" customHeight="1">
      <x:c r="B27" s="158" t="str">
        <x:v>Loaded work allowance — active</x:v>
      </x:c>
      <x:c r="C27" s="158" t="str">
        <x:v>USD/hour</x:v>
      </x:c>
      <x:c r="D27" s="162" t="n">
        <x:f>CHOOSE($C$4,IF(COUNT(D28)=1,D28,"n.a."),IF(COUNT(D29)=1,D29,"n.a."),IF(COUNT(D30)=1,D30,"n.a."))</x:f>
        <x:v>50</x:v>
      </x:c>
      <x:c r="E27" s="162" t="n">
        <x:f>CHOOSE($C$4,IF(COUNT(E28)=1,E28,"n.a."),IF(COUNT(E29)=1,E29,"n.a."),IF(COUNT(E30)=1,E30,"n.a."))</x:f>
        <x:v>50</x:v>
      </x:c>
      <x:c r="F27" s="162" t="n">
        <x:f>CHOOSE($C$4,IF(COUNT(F28)=1,F28,"n.a."),IF(COUNT(F29)=1,F29,"n.a."),IF(COUNT(F30)=1,F30,"n.a."))</x:f>
        <x:v>50</x:v>
      </x:c>
      <x:c r="G27" s="162" t="n">
        <x:f>CHOOSE($C$4,IF(COUNT(G28)=1,G28,"n.a."),IF(COUNT(G29)=1,G29,"n.a."),IF(COUNT(G30)=1,G30,"n.a."))</x:f>
        <x:v>50</x:v>
      </x:c>
      <x:c r="H27" s="162" t="n">
        <x:f>CHOOSE($C$4,IF(COUNT(H28)=1,H28,"n.a."),IF(COUNT(H29)=1,H29,"n.a."),IF(COUNT(H30)=1,H30,"n.a."))</x:f>
        <x:v>50</x:v>
      </x:c>
    </x:row>
    <x:row r="28" ht="23" customHeight="1">
      <x:c r="B28" s="141" t="str">
        <x:v>Lower</x:v>
      </x:c>
      <x:c r="C28" s="141"/>
      <x:c r="D28" s="163" t="n">
        <x:v>50</x:v>
      </x:c>
      <x:c r="E28" s="163" t="n">
        <x:v>50</x:v>
      </x:c>
      <x:c r="F28" s="163" t="n">
        <x:v>50</x:v>
      </x:c>
      <x:c r="G28" s="163" t="n">
        <x:v>50</x:v>
      </x:c>
      <x:c r="H28" s="163" t="n">
        <x:v>50</x:v>
      </x:c>
    </x:row>
    <x:row r="29" ht="23" customHeight="1">
      <x:c r="B29" s="141" t="str">
        <x:v>Working</x:v>
      </x:c>
      <x:c r="C29" s="141"/>
      <x:c r="D29" s="163" t="n">
        <x:v>50</x:v>
      </x:c>
      <x:c r="E29" s="163" t="n">
        <x:v>50</x:v>
      </x:c>
      <x:c r="F29" s="163" t="n">
        <x:v>50</x:v>
      </x:c>
      <x:c r="G29" s="163" t="n">
        <x:v>50</x:v>
      </x:c>
      <x:c r="H29" s="163" t="n">
        <x:v>50</x:v>
      </x:c>
    </x:row>
    <x:row r="30" ht="23" customHeight="1">
      <x:c r="B30" s="141" t="str">
        <x:v>Ambitious</x:v>
      </x:c>
      <x:c r="C30" s="141"/>
      <x:c r="D30" s="163" t="n">
        <x:v>50</x:v>
      </x:c>
      <x:c r="E30" s="163" t="n">
        <x:v>50</x:v>
      </x:c>
      <x:c r="F30" s="163" t="n">
        <x:v>50</x:v>
      </x:c>
      <x:c r="G30" s="163" t="n">
        <x:v>50</x:v>
      </x:c>
      <x:c r="H30" s="163" t="n">
        <x:v>50</x:v>
      </x:c>
    </x:row>
    <x:row r="31" ht="23" customHeight="1">
      <x:c r="B31" s="141"/>
      <x:c r="C31" s="141"/>
      <x:c r="D31" s="141"/>
      <x:c r="E31" s="141"/>
      <x:c r="F31" s="141"/>
      <x:c r="G31" s="141"/>
      <x:c r="H31" s="141"/>
    </x:row>
    <x:row r="32" ht="23" customHeight="1">
      <x:c r="B32" s="158" t="str">
        <x:v>Share of work paid to team — active</x:v>
      </x:c>
      <x:c r="C32" s="158" t="str">
        <x:v>fraction</x:v>
      </x:c>
      <x:c r="D32" s="164" t="n">
        <x:f>CHOOSE($C$4,IF(COUNT(D33)=1,D33,"n.a."),IF(COUNT(D34)=1,D34,"n.a."),IF(COUNT(D35)=1,D35,"n.a."))</x:f>
        <x:v>0</x:v>
      </x:c>
      <x:c r="E32" s="164" t="n">
        <x:f>CHOOSE($C$4,IF(COUNT(E33)=1,E33,"n.a."),IF(COUNT(E34)=1,E34,"n.a."),IF(COUNT(E35)=1,E35,"n.a."))</x:f>
        <x:v>0.07284768211920534</x:v>
      </x:c>
      <x:c r="F32" s="164" t="n">
        <x:f>CHOOSE($C$4,IF(COUNT(F33)=1,F33,"n.a."),IF(COUNT(F34)=1,F34,"n.a."),IF(COUNT(F35)=1,F35,"n.a."))</x:f>
        <x:v>0.30000000000000004</x:v>
      </x:c>
      <x:c r="G32" s="164" t="n">
        <x:f>CHOOSE($C$4,IF(COUNT(G33)=1,G33,"n.a."),IF(COUNT(G34)=1,G34,"n.a."),IF(COUNT(G35)=1,G35,"n.a."))</x:f>
        <x:v>0.43775100401606426</x:v>
      </x:c>
      <x:c r="H32" s="164" t="n">
        <x:f>CHOOSE($C$4,IF(COUNT(H33)=1,H33,"n.a."),IF(COUNT(H34)=1,H34,"n.a."),IF(COUNT(H35)=1,H35,"n.a."))</x:f>
        <x:v>0.5302013422818792</x:v>
      </x:c>
    </x:row>
    <x:row r="33" ht="23" customHeight="1">
      <x:c r="B33" s="141" t="str">
        <x:v>Lower</x:v>
      </x:c>
      <x:c r="C33" s="141"/>
      <x:c r="D33" s="165" t="n">
        <x:f>MAX(0,1-140/(D8*D23+D43))</x:f>
        <x:v>0</x:v>
      </x:c>
      <x:c r="E33" s="165" t="n">
        <x:f>MAX(0,1-140/(E8*E23+E43))</x:f>
        <x:v>0</x:v>
      </x:c>
      <x:c r="F33" s="165" t="n">
        <x:f>MAX(0,1-140/(F8*F23+F43))</x:f>
        <x:v>0</x:v>
      </x:c>
      <x:c r="G33" s="165" t="n">
        <x:f>MAX(0,1-140/(G8*G23+G43))</x:f>
        <x:v>0</x:v>
      </x:c>
      <x:c r="H33" s="165" t="n">
        <x:f>MAX(0,1-140/(H8*H23+H43))</x:f>
        <x:v>0</x:v>
      </x:c>
    </x:row>
    <x:row r="34" ht="23" customHeight="1">
      <x:c r="B34" s="141" t="str">
        <x:v>Working</x:v>
      </x:c>
      <x:c r="C34" s="141"/>
      <x:c r="D34" s="165" t="n">
        <x:f>MAX(0,1-140/(D9*D24+D44))</x:f>
        <x:v>0</x:v>
      </x:c>
      <x:c r="E34" s="165" t="n">
        <x:f>MAX(0,1-140/(E9*E24+E44))</x:f>
        <x:v>0.07284768211920534</x:v>
      </x:c>
      <x:c r="F34" s="165" t="n">
        <x:f>MAX(0,1-140/(F9*F24+F44))</x:f>
        <x:v>0.30000000000000004</x:v>
      </x:c>
      <x:c r="G34" s="165" t="n">
        <x:f>MAX(0,1-140/(G9*G24+G44))</x:f>
        <x:v>0.43775100401606426</x:v>
      </x:c>
      <x:c r="H34" s="165" t="n">
        <x:f>MAX(0,1-140/(H9*H24+H44))</x:f>
        <x:v>0.5302013422818792</x:v>
      </x:c>
    </x:row>
    <x:row r="35" ht="23" customHeight="1">
      <x:c r="B35" s="141" t="str">
        <x:v>Ambitious</x:v>
      </x:c>
      <x:c r="C35" s="141"/>
      <x:c r="D35" s="165" t="n">
        <x:f>MAX(0,1-140/(D10*D25+D45))</x:f>
        <x:v>0.30000000000000004</x:v>
      </x:c>
      <x:c r="E35" s="165" t="n">
        <x:f>MAX(0,1-140/(E10*E25+E45))</x:f>
        <x:v>0.5238095238095238</x:v>
      </x:c>
      <x:c r="F35" s="165" t="n">
        <x:f>MAX(0,1-140/(F10*F25+F45))</x:f>
        <x:v>0.641025641025641</x:v>
      </x:c>
      <x:c r="G35" s="165" t="n">
        <x:f>MAX(0,1-140/(G10*G25+G45))</x:f>
        <x:v>0.7119341563786008</x:v>
      </x:c>
      <x:c r="H35" s="165" t="n">
        <x:f>MAX(0,1-140/(H10*H25+H45))</x:f>
        <x:v>0.7586206896551724</x:v>
      </x:c>
    </x:row>
    <x:row r="36" ht="23" customHeight="1">
      <x:c r="B36" s="141"/>
      <x:c r="C36" s="141"/>
      <x:c r="D36" s="141"/>
      <x:c r="E36" s="141"/>
      <x:c r="F36" s="141"/>
      <x:c r="G36" s="141"/>
      <x:c r="H36" s="141"/>
    </x:row>
    <x:row r="37" ht="23" customHeight="1">
      <x:c r="B37" s="158" t="str">
        <x:v>Monthly fixed overhead — active</x:v>
      </x:c>
      <x:c r="C37" s="158" t="str">
        <x:v>USD</x:v>
      </x:c>
      <x:c r="D37" s="162" t="n">
        <x:f>CHOOSE($C$4,IF(COUNT(D38)=1,D38,"n.a."),IF(COUNT(D39)=1,D39,"n.a."),IF(COUNT(D40)=1,D40,"n.a."))</x:f>
        <x:v>1000</x:v>
      </x:c>
      <x:c r="E37" s="162" t="n">
        <x:f>CHOOSE($C$4,IF(COUNT(E38)=1,E38,"n.a."),IF(COUNT(E39)=1,E39,"n.a."),IF(COUNT(E40)=1,E40,"n.a."))</x:f>
        <x:v>1500</x:v>
      </x:c>
      <x:c r="F37" s="162" t="n">
        <x:f>CHOOSE($C$4,IF(COUNT(F38)=1,F38,"n.a."),IF(COUNT(F39)=1,F39,"n.a."),IF(COUNT(F40)=1,F40,"n.a."))</x:f>
        <x:v>2000</x:v>
      </x:c>
      <x:c r="G37" s="162" t="n">
        <x:f>CHOOSE($C$4,IF(COUNT(G38)=1,G38,"n.a."),IF(COUNT(G39)=1,G39,"n.a."),IF(COUNT(G40)=1,G40,"n.a."))</x:f>
        <x:v>2500</x:v>
      </x:c>
      <x:c r="H37" s="162" t="n">
        <x:f>CHOOSE($C$4,IF(COUNT(H38)=1,H38,"n.a."),IF(COUNT(H39)=1,H39,"n.a."),IF(COUNT(H40)=1,H40,"n.a."))</x:f>
        <x:v>3000</x:v>
      </x:c>
    </x:row>
    <x:row r="38" ht="23" customHeight="1">
      <x:c r="B38" s="141" t="str">
        <x:v>Lower</x:v>
      </x:c>
      <x:c r="C38" s="141"/>
      <x:c r="D38" s="163" t="n">
        <x:v>1000</x:v>
      </x:c>
      <x:c r="E38" s="163" t="n">
        <x:v>1000</x:v>
      </x:c>
      <x:c r="F38" s="163" t="n">
        <x:v>1000</x:v>
      </x:c>
      <x:c r="G38" s="163" t="n">
        <x:v>1000</x:v>
      </x:c>
      <x:c r="H38" s="163" t="n">
        <x:v>1000</x:v>
      </x:c>
    </x:row>
    <x:row r="39" ht="23" customHeight="1">
      <x:c r="B39" s="141" t="str">
        <x:v>Working</x:v>
      </x:c>
      <x:c r="C39" s="141"/>
      <x:c r="D39" s="163" t="n">
        <x:v>1000</x:v>
      </x:c>
      <x:c r="E39" s="163" t="n">
        <x:v>1500</x:v>
      </x:c>
      <x:c r="F39" s="163" t="n">
        <x:v>2000</x:v>
      </x:c>
      <x:c r="G39" s="163" t="n">
        <x:v>2500</x:v>
      </x:c>
      <x:c r="H39" s="163" t="n">
        <x:v>3000</x:v>
      </x:c>
    </x:row>
    <x:row r="40" ht="23" customHeight="1">
      <x:c r="B40" s="141" t="str">
        <x:v>Ambitious</x:v>
      </x:c>
      <x:c r="C40" s="141"/>
      <x:c r="D40" s="163" t="n">
        <x:v>2000</x:v>
      </x:c>
      <x:c r="E40" s="163" t="n">
        <x:v>3000</x:v>
      </x:c>
      <x:c r="F40" s="163" t="n">
        <x:v>4000</x:v>
      </x:c>
      <x:c r="G40" s="163" t="n">
        <x:v>5000</x:v>
      </x:c>
      <x:c r="H40" s="163" t="n">
        <x:v>6000</x:v>
      </x:c>
    </x:row>
    <x:row r="41" ht="23" customHeight="1">
      <x:c r="B41" s="141"/>
      <x:c r="C41" s="141"/>
      <x:c r="D41" s="141"/>
      <x:c r="E41" s="141"/>
      <x:c r="F41" s="141"/>
      <x:c r="G41" s="141"/>
      <x:c r="H41" s="141"/>
    </x:row>
    <x:row r="42" ht="23" customHeight="1">
      <x:c r="B42" s="158" t="str">
        <x:v>Extra admin / sales work — active</x:v>
      </x:c>
      <x:c r="C42" s="158" t="str">
        <x:v>hours/month</x:v>
      </x:c>
      <x:c r="D42" s="160" t="n">
        <x:f>CHOOSE($C$4,IF(COUNT(D43)=1,D43,"n.a."),IF(COUNT(D44)=1,D44,"n.a."),IF(COUNT(D45)=1,D45,"n.a."))</x:f>
        <x:v>12</x:v>
      </x:c>
      <x:c r="E42" s="160" t="n">
        <x:f>CHOOSE($C$4,IF(COUNT(E43)=1,E43,"n.a."),IF(COUNT(E44)=1,E44,"n.a."),IF(COUNT(E45)=1,E45,"n.a."))</x:f>
        <x:v>16</x:v>
      </x:c>
      <x:c r="F42" s="160" t="n">
        <x:f>CHOOSE($C$4,IF(COUNT(F43)=1,F43,"n.a."),IF(COUNT(F44)=1,F44,"n.a."),IF(COUNT(F45)=1,F45,"n.a."))</x:f>
        <x:v>20</x:v>
      </x:c>
      <x:c r="G42" s="160" t="n">
        <x:f>CHOOSE($C$4,IF(COUNT(G43)=1,G43,"n.a."),IF(COUNT(G44)=1,G44,"n.a."),IF(COUNT(G45)=1,G45,"n.a."))</x:f>
        <x:v>24</x:v>
      </x:c>
      <x:c r="H42" s="160" t="n">
        <x:f>CHOOSE($C$4,IF(COUNT(H43)=1,H43,"n.a."),IF(COUNT(H44)=1,H44,"n.a."),IF(COUNT(H45)=1,H45,"n.a."))</x:f>
        <x:v>28</x:v>
      </x:c>
    </x:row>
    <x:row r="43" ht="23" customHeight="1">
      <x:c r="B43" s="141" t="str">
        <x:v>Lower</x:v>
      </x:c>
      <x:c r="C43" s="141"/>
      <x:c r="D43" s="161" t="n">
        <x:v>12</x:v>
      </x:c>
      <x:c r="E43" s="161" t="n">
        <x:v>12</x:v>
      </x:c>
      <x:c r="F43" s="161" t="n">
        <x:v>12</x:v>
      </x:c>
      <x:c r="G43" s="161" t="n">
        <x:v>12</x:v>
      </x:c>
      <x:c r="H43" s="161" t="n">
        <x:v>12</x:v>
      </x:c>
    </x:row>
    <x:row r="44" ht="23" customHeight="1">
      <x:c r="B44" s="141" t="str">
        <x:v>Working</x:v>
      </x:c>
      <x:c r="C44" s="141"/>
      <x:c r="D44" s="161" t="n">
        <x:v>12</x:v>
      </x:c>
      <x:c r="E44" s="161" t="n">
        <x:v>16</x:v>
      </x:c>
      <x:c r="F44" s="161" t="n">
        <x:v>20</x:v>
      </x:c>
      <x:c r="G44" s="161" t="n">
        <x:v>24</x:v>
      </x:c>
      <x:c r="H44" s="161" t="n">
        <x:v>28</x:v>
      </x:c>
    </x:row>
    <x:row r="45" ht="23" customHeight="1">
      <x:c r="B45" s="141" t="str">
        <x:v>Ambitious</x:v>
      </x:c>
      <x:c r="C45" s="141"/>
      <x:c r="D45" s="161" t="n">
        <x:v>20</x:v>
      </x:c>
      <x:c r="E45" s="161" t="n">
        <x:v>24</x:v>
      </x:c>
      <x:c r="F45" s="161" t="n">
        <x:v>30</x:v>
      </x:c>
      <x:c r="G45" s="161" t="n">
        <x:v>36</x:v>
      </x:c>
      <x:c r="H45" s="161" t="n">
        <x:v>40</x:v>
      </x:c>
    </x:row>
    <x:row r="46" ht="23" customHeight="1">
      <x:c r="B46" s="141"/>
      <x:c r="C46" s="141"/>
      <x:c r="D46" s="141"/>
      <x:c r="E46" s="141"/>
      <x:c r="F46" s="141"/>
      <x:c r="G46" s="141"/>
      <x:c r="H46" s="141"/>
    </x:row>
    <x:row r="47" ht="23" customHeight="1">
      <x:c r="B47" s="158" t="str">
        <x:v>Stock cycle / cash coverage — active</x:v>
      </x:c>
      <x:c r="C47" s="158" t="str">
        <x:v>months</x:v>
      </x:c>
      <x:c r="D47" s="160" t="n">
        <x:f>CHOOSE($C$4,IF(COUNT(D48)=1,D48,"n.a."),IF(COUNT(D49)=1,D49,"n.a."),IF(COUNT(D50)=1,D50,"n.a."))</x:f>
        <x:v>1.5</x:v>
      </x:c>
      <x:c r="E47" s="160" t="n">
        <x:f>CHOOSE($C$4,IF(COUNT(E48)=1,E48,"n.a."),IF(COUNT(E49)=1,E49,"n.a."),IF(COUNT(E50)=1,E50,"n.a."))</x:f>
        <x:v>1.5</x:v>
      </x:c>
      <x:c r="F47" s="160" t="n">
        <x:f>CHOOSE($C$4,IF(COUNT(F48)=1,F48,"n.a."),IF(COUNT(F49)=1,F49,"n.a."),IF(COUNT(F50)=1,F50,"n.a."))</x:f>
        <x:v>1.5</x:v>
      </x:c>
      <x:c r="G47" s="160" t="n">
        <x:f>CHOOSE($C$4,IF(COUNT(G48)=1,G48,"n.a."),IF(COUNT(G49)=1,G49,"n.a."),IF(COUNT(G50)=1,G50,"n.a."))</x:f>
        <x:v>1.5</x:v>
      </x:c>
      <x:c r="H47" s="160" t="n">
        <x:f>CHOOSE($C$4,IF(COUNT(H48)=1,H48,"n.a."),IF(COUNT(H49)=1,H49,"n.a."),IF(COUNT(H50)=1,H50,"n.a."))</x:f>
        <x:v>1.5</x:v>
      </x:c>
    </x:row>
    <x:row r="48" ht="23" customHeight="1">
      <x:c r="B48" s="141" t="str">
        <x:v>Lower</x:v>
      </x:c>
      <x:c r="C48" s="141"/>
      <x:c r="D48" s="161" t="n">
        <x:v>2</x:v>
      </x:c>
      <x:c r="E48" s="161" t="n">
        <x:v>2</x:v>
      </x:c>
      <x:c r="F48" s="161" t="n">
        <x:v>2</x:v>
      </x:c>
      <x:c r="G48" s="161" t="n">
        <x:v>2</x:v>
      </x:c>
      <x:c r="H48" s="161" t="n">
        <x:v>2</x:v>
      </x:c>
    </x:row>
    <x:row r="49" ht="23" customHeight="1">
      <x:c r="B49" s="141" t="str">
        <x:v>Working</x:v>
      </x:c>
      <x:c r="C49" s="141"/>
      <x:c r="D49" s="161" t="n">
        <x:v>1.5</x:v>
      </x:c>
      <x:c r="E49" s="161" t="n">
        <x:v>1.5</x:v>
      </x:c>
      <x:c r="F49" s="161" t="n">
        <x:v>1.5</x:v>
      </x:c>
      <x:c r="G49" s="161" t="n">
        <x:v>1.5</x:v>
      </x:c>
      <x:c r="H49" s="161" t="n">
        <x:v>1.5</x:v>
      </x:c>
    </x:row>
    <x:row r="50" ht="23" customHeight="1">
      <x:c r="B50" s="141" t="str">
        <x:v>Ambitious</x:v>
      </x:c>
      <x:c r="C50" s="141"/>
      <x:c r="D50" s="161" t="n">
        <x:v>1.5</x:v>
      </x:c>
      <x:c r="E50" s="161" t="n">
        <x:v>1.5</x:v>
      </x:c>
      <x:c r="F50" s="161" t="n">
        <x:v>1.5</x:v>
      </x:c>
      <x:c r="G50" s="161" t="n">
        <x:v>1.5</x:v>
      </x:c>
      <x:c r="H50" s="161" t="n">
        <x:v>1.5</x:v>
      </x:c>
    </x:row>
    <x:row r="51" ht="23" customHeight="1">
      <x:c r="B51" s="141"/>
      <x:c r="C51" s="141"/>
      <x:c r="D51" s="141"/>
      <x:c r="E51" s="141"/>
      <x:c r="F51" s="141"/>
      <x:c r="G51" s="141"/>
      <x:c r="H51" s="141"/>
    </x:row>
    <x:row r="52" ht="23" customHeight="1">
      <x:c r="B52" s="141"/>
      <x:c r="C52" s="141"/>
      <x:c r="D52" s="141"/>
      <x:c r="E52" s="141"/>
      <x:c r="F52" s="141"/>
      <x:c r="G52" s="141"/>
      <x:c r="H52" s="141"/>
    </x:row>
    <x:row r="53" ht="23" customHeight="1">
      <x:c r="B53" s="141"/>
      <x:c r="C53" s="141"/>
      <x:c r="D53" s="141"/>
      <x:c r="E53" s="141"/>
      <x:c r="F53" s="141"/>
      <x:c r="G53" s="141"/>
      <x:c r="H53" s="141"/>
    </x:row>
    <x:row r="54" ht="23" customHeight="1">
      <x:c r="B54" s="141" t="str">
        <x:v>Proposed planning figures | sources September 21, 2026</x:v>
      </x:c>
      <x:c r="C54" s="141"/>
      <x:c r="D54" s="141"/>
      <x:c r="E54" s="141"/>
      <x:c r="F54" s="141"/>
      <x:c r="G54" s="141"/>
      <x:c r="H54" s="141"/>
    </x:row>
    <x:row r="55" ht="23" customHeight="1">
      <x:c r="B55" s="141"/>
      <x:c r="C55" s="141"/>
      <x:c r="D55" s="141"/>
      <x:c r="E55" s="141"/>
      <x:c r="F55" s="141"/>
      <x:c r="G55" s="141"/>
      <x:c r="H55" s="141"/>
    </x:row>
    <x:row r="56" ht="64" customHeight="1">
      <x:c r="B56" s="143" t="str">
        <x:v>Levi's planning floor is four completed flips per month, not a prediction that fewer sales cannot occur. Lower holds four/month with 10% lower resale, 30% more repair spending and $200 extra holding per unit. Working grows 4 to 12; ambitious 8 to 24 over five operating years.</x:v>
      </x:c>
      <x:c r="C56" s="143"/>
      <x:c r="D56" s="143"/>
      <x:c r="E56" s="143"/>
      <x:c r="F56" s="143"/>
      <x:c r="G56" s="143"/>
      <x:c r="H56" s="143"/>
    </x:row>
    <x:row r="57" ht="64" customHeight="1">
      <x:c r="B57" s="143" t="str">
        <x:v>Every four-unit cycle contains two trailer-type units, one Ranger-type and one Pioneer 700-4-type. This is a future sourcing mix, not owned stock. Working sale targets total $27,300 and cash budgets $18,000 before overhead and work. The $7,500 Pioneer target requires condition above the $7,200 average-retail reference; otherwise lower the target and buying ceiling.</x:v>
      </x:c>
      <x:c r="C57" s="143"/>
      <x:c r="D57" s="143"/>
      <x:c r="E57" s="143"/>
      <x:c r="F57" s="143"/>
      <x:c r="G57" s="143"/>
      <x:c r="H57" s="143"/>
    </x:row>
    <x:row r="58" ht="64" customHeight="1">
      <x:c r="B58" s="143" t="str">
        <x:v>Purchase figures are target buying ceilings, not available deals or recovered paid prices. Repair, transport/fees, contingency and hours are assumptions, itemized by type. Purchase tax/fees belong in the allowance; tax treatment and individual quotes may change costs. No arbitrary five-year price inflation.</x:v>
      </x:c>
      <x:c r="C58" s="143"/>
      <x:c r="D58" s="143"/>
      <x:c r="E58" s="143"/>
      <x:c r="F58" s="143"/>
      <x:c r="G58" s="143"/>
      <x:c r="H58" s="143"/>
    </x:row>
    <x:row r="59" ht="64" customHeight="1">
      <x:c r="B59" s="143" t="str">
        <x:v>The older owner-reported Pioneer example was $9,000 value less $800 purchase, $1,500 trade/work and $2,000 transmission = $4,700 before omitted costs. It is not the current Pioneer, not pure cash profit, and its labor is not deducted a second time in this reconstruction. It is context only, not a model input.</x:v>
      </x:c>
      <x:c r="C59" s="143"/>
      <x:c r="D59" s="143"/>
      <x:c r="E59" s="143"/>
      <x:c r="F59" s="143"/>
      <x:c r="G59" s="143"/>
      <x:c r="H59" s="143"/>
    </x:row>
    <x:row r="60" ht="64" customHeight="1">
      <x:c r="B60" s="143" t="str">
        <x:v>Work is valued at $50/hour, an assumed loaded economic allowance. Paid help replaces work beyond a 140-owner-hour monthly screen. A 1.5-month cycle requires six units in progress to sustain four sales/month; stock and cash requirements grow with throughput. Neither supply nor demand is proven.</x:v>
      </x:c>
      <x:c r="C60" s="143"/>
      <x:c r="D60" s="143"/>
      <x:c r="E60" s="143"/>
      <x:c r="F60" s="143"/>
      <x:c r="G60" s="143"/>
      <x:c r="H60" s="143"/>
    </x:row>
    <x:row r="61" ht="64" customHeight="1">
      <x:c r="B61" s="143" t="str">
        <x:v>2007 Tailgator private seller, Escondido | $6,800 asking; running appliances/generator and seller-reported good condition; different year from owned 2005 | https://offerup.com/item/detail/a739501e-fb4f-3667-9fbc-4ae4798a2fbb</x:v>
      </x:c>
      <x:c r="C61" s="143"/>
      <x:c r="D61" s="143"/>
      <x:c r="E61" s="143"/>
      <x:c r="F61" s="143"/>
      <x:c r="G61" s="143"/>
      <x:c r="H61" s="143"/>
    </x:row>
    <x:row r="62" ht="64" customHeight="1">
      <x:c r="B62" s="143" t="str">
        <x:v>2010 Ranger 800 XP dealer, Illinois | $6,900 advertised; dealer fees/tax extra, out-of-state context, not a transaction | https://www.carcorralpolaris.com/Pre-owned-Inventory-2010-Polaris-Utility-Vehicle-Ranger-800-XP-Browning-Pursuit-LE-Flora-14780176</x:v>
      </x:c>
      <x:c r="C62" s="143"/>
      <x:c r="D62" s="143"/>
      <x:c r="E62" s="143"/>
      <x:c r="F62" s="143"/>
      <x:c r="G62" s="143"/>
      <x:c r="H62" s="143"/>
    </x:row>
    <x:row r="63" ht="64" customHeight="1">
      <x:c r="B63" s="143" t="str">
        <x:v>J.D. Power 2015 Pioneer 700-4 | $7,200 average retail / $5,470 low retail; valuation guide, not a verified sale | https://www.jdpower.com/motorcycles/2015/honda/sxs700m4f-pioneer-675cc/values</x:v>
      </x:c>
      <x:c r="C63" s="143"/>
      <x:c r="D63" s="143"/>
      <x:c r="E63" s="143"/>
      <x:c r="F63" s="143"/>
      <x:c r="G63" s="143"/>
      <x:c r="H63" s="143"/>
    </x:row>
    <x:row r="64" ht="64" customHeight="1">
      <x:c r="B64" s="143" t="str">
        <x:v>ATV Hunt dealer-listing observation | $8,699 asking after $8,995; aggregator listing, not transaction evidence | https://atvhunt.com/l/8556701/2015-Honda-Pioneer-700-4</x:v>
      </x:c>
      <x:c r="C64" s="143"/>
      <x:c r="D64" s="143"/>
      <x:c r="E64" s="143"/>
      <x:c r="F64" s="143"/>
      <x:c r="G64" s="143"/>
      <x:c r="H64" s="143"/>
    </x:row>
    <x:row r="65" ht="64" customHeight="1">
      <x:c r="B65" s="143" t="str">
        <x:v>2005 Tailgator sold-marked listing | $4,500 displayed; sold status does not establish the transaction amount | https://offerup.com/item/detail/cbb4fcb5-5c95-344f-af11-e0e7096911c8</x:v>
      </x:c>
      <x:c r="C65" s="143"/>
      <x:c r="D65" s="143"/>
      <x:c r="E65" s="143"/>
      <x:c r="F65" s="143"/>
      <x:c r="G65" s="143"/>
      <x:c r="H65" s="143"/>
    </x:row>
    <x:row r="66" ht="23" customHeight="1">
      <x:c r="B66" s="141"/>
      <x:c r="C66" s="141"/>
      <x:c r="D66" s="141"/>
      <x:c r="E66" s="141"/>
      <x:c r="F66" s="141"/>
      <x:c r="G66" s="141"/>
      <x:c r="H66" s="141"/>
    </x:row>
    <x:row r="67" ht="23" customHeight="1">
      <x:c r="B67" s="141"/>
      <x:c r="C67" s="141"/>
      <x:c r="D67" s="141"/>
      <x:c r="E67" s="141"/>
      <x:c r="F67" s="141"/>
      <x:c r="G67" s="141"/>
      <x:c r="H67" s="141"/>
    </x:row>
    <x:row r="68" ht="23" customHeight="1">
      <x:c r="B68" s="141"/>
      <x:c r="C68" s="141"/>
      <x:c r="D68" s="141"/>
      <x:c r="E68" s="141"/>
      <x:c r="F68" s="141"/>
      <x:c r="G68" s="141"/>
      <x:c r="H68" s="141"/>
    </x:row>
    <x:row r="69" ht="23" customHeight="1">
      <x:c r="B69" s="141"/>
      <x:c r="C69" s="141"/>
      <x:c r="D69" s="141"/>
      <x:c r="E69" s="141"/>
      <x:c r="F69" s="141"/>
      <x:c r="G69" s="141"/>
      <x:c r="H69" s="141"/>
    </x:row>
    <x:row r="70" ht="23" customHeight="1">
      <x:c r="B70" s="141"/>
      <x:c r="C70" s="141"/>
      <x:c r="D70" s="141"/>
      <x:c r="E70" s="141"/>
      <x:c r="F70" s="141"/>
      <x:c r="G70" s="141"/>
      <x:c r="H70" s="141"/>
    </x:row>
    <x:row r="71" ht="23" customHeight="1">
      <x:c r="B71" s="141"/>
      <x:c r="C71" s="141"/>
      <x:c r="D71" s="141"/>
      <x:c r="E71" s="141"/>
      <x:c r="F71" s="141"/>
      <x:c r="G71" s="141"/>
      <x:c r="H71" s="141"/>
    </x:row>
    <x:row r="72" ht="23" customHeight="1">
      <x:c r="B72" s="141"/>
      <x:c r="C72" s="141"/>
      <x:c r="D72" s="141"/>
      <x:c r="E72" s="141"/>
      <x:c r="F72" s="141"/>
      <x:c r="G72" s="141"/>
      <x:c r="H72" s="141"/>
    </x:row>
    <x:row r="73" ht="23" customHeight="1">
      <x:c r="B73" s="141"/>
      <x:c r="C73" s="141"/>
      <x:c r="D73" s="141"/>
      <x:c r="E73" s="141"/>
      <x:c r="F73" s="141"/>
      <x:c r="G73" s="141"/>
      <x:c r="H73" s="141"/>
    </x:row>
    <x:row r="74" ht="23" customHeight="1">
      <x:c r="B74" s="141"/>
      <x:c r="C74" s="141"/>
      <x:c r="D74" s="141"/>
      <x:c r="E74" s="141"/>
      <x:c r="F74" s="141"/>
      <x:c r="G74" s="141"/>
      <x:c r="H74" s="141"/>
    </x:row>
    <x:row r="75" ht="23" customHeight="1">
      <x:c r="B75" s="141"/>
      <x:c r="C75" s="141"/>
      <x:c r="D75" s="141"/>
      <x:c r="E75" s="141"/>
      <x:c r="F75" s="141"/>
      <x:c r="G75" s="141"/>
      <x:c r="H75" s="141"/>
    </x:row>
    <x:row r="76" ht="23" customHeight="1">
      <x:c r="B76" s="141"/>
      <x:c r="C76" s="141"/>
      <x:c r="D76" s="141"/>
      <x:c r="E76" s="141"/>
      <x:c r="F76" s="141"/>
      <x:c r="G76" s="141"/>
      <x:c r="H76" s="141"/>
    </x:row>
    <x:row r="77" ht="23" customHeight="1">
      <x:c r="B77" s="141"/>
      <x:c r="C77" s="141"/>
      <x:c r="D77" s="141"/>
      <x:c r="E77" s="141"/>
      <x:c r="F77" s="141"/>
      <x:c r="G77" s="141"/>
      <x:c r="H77" s="141"/>
    </x:row>
    <x:row r="78" ht="23" customHeight="1">
      <x:c r="B78" s="141"/>
      <x:c r="C78" s="141"/>
      <x:c r="D78" s="141"/>
      <x:c r="E78" s="141"/>
      <x:c r="F78" s="141"/>
      <x:c r="G78" s="141"/>
      <x:c r="H78" s="141"/>
    </x:row>
    <x:row r="79" ht="23" customHeight="1">
      <x:c r="B79" s="141"/>
      <x:c r="C79" s="141"/>
      <x:c r="D79" s="141"/>
      <x:c r="E79" s="141"/>
      <x:c r="F79" s="141"/>
      <x:c r="G79" s="141"/>
      <x:c r="H79" s="141"/>
    </x:row>
    <x:row r="80" ht="23" customHeight="1">
      <x:c r="B80" s="141"/>
      <x:c r="C80" s="141"/>
      <x:c r="D80" s="141"/>
      <x:c r="E80" s="141"/>
      <x:c r="F80" s="141"/>
      <x:c r="G80" s="141"/>
      <x:c r="H80" s="141"/>
    </x:row>
  </x:sheetData>
  <x:mergeCells>
    <x:mergeCell ref="B56:H56"/>
    <x:mergeCell ref="B57:H57"/>
    <x:mergeCell ref="B58:H58"/>
    <x:mergeCell ref="B59:H59"/>
    <x:mergeCell ref="B60:H60"/>
    <x:mergeCell ref="B61:H61"/>
    <x:mergeCell ref="B62:H62"/>
    <x:mergeCell ref="B63:H63"/>
    <x:mergeCell ref="B64:H64"/>
    <x:mergeCell ref="B65:H65"/>
  </x:mergeCells>
  <x:dataValidations count="1">
    <x:dataValidation type="whole" operator="between" sqref="C4">
      <x:formula1>1</x:formula1>
      <x:formula2>3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0" hidden="0" customWidth="1"/>
    <x:col min="12" max="12" width="20" hidden="0" customWidth="1"/>
    <x:col min="13" max="13" width="20" hidden="0" customWidth="1"/>
  </x:cols>
  <x:sheetData>
    <x:row r="2" ht="27" customHeight="1">
      <x:c r="B2" s="142" t="str">
        <x:v>EDM Overhaulers | build from the unit</x:v>
      </x:c>
      <x:c r="C2" s="141"/>
      <x:c r="D2" s="141"/>
      <x:c r="E2" s="141"/>
      <x:c r="F2" s="141"/>
      <x:c r="G2" s="141"/>
      <x:c r="H2" s="141"/>
      <x:c r="I2" s="141"/>
      <x:c r="J2" s="141"/>
    </x:row>
    <x:row r="3" ht="27" customHeight="1">
      <x:c r="B3" s="141"/>
      <x:c r="C3" s="141"/>
      <x:c r="D3" s="141"/>
      <x:c r="E3" s="141"/>
      <x:c r="F3" s="141"/>
      <x:c r="G3" s="141"/>
      <x:c r="H3" s="141"/>
      <x:c r="I3" s="141"/>
      <x:c r="J3" s="141"/>
    </x:row>
    <x:row r="4" ht="42" customHeight="1">
      <x:c r="B4" s="143" t="str">
        <x:v>Four-unit mix: two trailers + one Ranger-type + one Pioneer-type. Not current inventory.</x:v>
      </x:c>
      <x:c r="C4" s="143"/>
      <x:c r="D4" s="143"/>
      <x:c r="E4" s="143"/>
      <x:c r="F4" s="143"/>
      <x:c r="G4" s="143"/>
      <x:c r="H4" s="143"/>
      <x:c r="I4" s="143"/>
      <x:c r="J4" s="143"/>
    </x:row>
    <x:row r="5" ht="27" customHeight="1">
      <x:c r="B5" s="141"/>
      <x:c r="C5" s="141"/>
      <x:c r="D5" s="141"/>
      <x:c r="E5" s="141"/>
      <x:c r="F5" s="141"/>
      <x:c r="G5" s="141"/>
      <x:c r="H5" s="141"/>
      <x:c r="I5" s="141"/>
      <x:c r="J5" s="141"/>
    </x:row>
    <x:row r="6" ht="27" customHeight="1">
      <x:c r="B6" s="141"/>
      <x:c r="C6" s="141"/>
      <x:c r="D6" s="141"/>
      <x:c r="E6" s="141"/>
      <x:c r="F6" s="141"/>
      <x:c r="G6" s="141"/>
      <x:c r="H6" s="141"/>
      <x:c r="I6" s="141"/>
      <x:c r="J6" s="141"/>
    </x:row>
    <x:row r="7" ht="44" customHeight="1">
      <x:c r="B7" s="146" t="str">
        <x:v>Equipment type</x:v>
      </x:c>
      <x:c r="C7" s="146" t="str">
        <x:v>Mix count</x:v>
      </x:c>
      <x:c r="D7" s="146" t="str">
        <x:v>Sale target</x:v>
      </x:c>
      <x:c r="E7" s="146" t="str">
        <x:v>Purchase ceiling</x:v>
      </x:c>
      <x:c r="F7" s="146" t="str">
        <x:v>Repairs / parts</x:v>
      </x:c>
      <x:c r="G7" s="146" t="str">
        <x:v>Transport / fees</x:v>
      </x:c>
      <x:c r="H7" s="146" t="str">
        <x:v>Contingency / holding</x:v>
      </x:c>
      <x:c r="I7" s="146" t="str">
        <x:v>Total cash</x:v>
      </x:c>
      <x:c r="J7" s="146" t="str">
        <x:v>Work hours</x:v>
      </x:c>
      <x:c r="K7" s="178" t="str">
        <x:v>Economic labor</x:v>
      </x:c>
      <x:c r="L7" s="178" t="str">
        <x:v>Minimum profit buffer</x:v>
      </x:c>
      <x:c r="M7" s="178" t="str">
        <x:v>Calculated maximum buy</x:v>
      </x:c>
    </x:row>
    <x:row r="8" ht="27" customHeight="1">
      <x:c r="B8" s="141" t="str">
        <x:v>Tailgator-type toy hauler</x:v>
      </x:c>
      <x:c r="C8" s="152" t="n">
        <x:v>2</x:v>
      </x:c>
      <x:c r="D8" s="149" t="n">
        <x:v>6500</x:v>
      </x:c>
      <x:c r="E8" s="149" t="n">
        <x:f>M8</x:f>
        <x:v>2200</x:v>
      </x:c>
      <x:c r="F8" s="149" t="n">
        <x:v>1200</x:v>
      </x:c>
      <x:c r="G8" s="149" t="n">
        <x:v>600</x:v>
      </x:c>
      <x:c r="H8" s="149" t="n">
        <x:v>300</x:v>
      </x:c>
      <x:c r="I8" s="150" t="n">
        <x:f>SUM(E8:H8)</x:f>
        <x:v>4300</x:v>
      </x:c>
      <x:c r="J8" s="155" t="n">
        <x:v>24</x:v>
      </x:c>
      <x:c r="K8" s="179" t="n">
        <x:f>J8*'Planning inputs'!$D$27</x:f>
        <x:v>1200</x:v>
      </x:c>
      <x:c r="L8" s="180" t="n">
        <x:v>1000</x:v>
      </x:c>
      <x:c r="M8" s="179" t="n">
        <x:f>D8-SUM(F8:H8)-K8-L8</x:f>
        <x:v>2200</x:v>
      </x:c>
    </x:row>
    <x:row r="9" ht="27" customHeight="1">
      <x:c r="B9" s="141" t="str">
        <x:v>Ranger 800-type side-by-side</x:v>
      </x:c>
      <x:c r="C9" s="152" t="n">
        <x:v>1</x:v>
      </x:c>
      <x:c r="D9" s="149" t="n">
        <x:v>6800</x:v>
      </x:c>
      <x:c r="E9" s="149" t="n">
        <x:f>M9</x:f>
        <x:v>2300</x:v>
      </x:c>
      <x:c r="F9" s="149" t="n">
        <x:v>800</x:v>
      </x:c>
      <x:c r="G9" s="149" t="n">
        <x:v>550</x:v>
      </x:c>
      <x:c r="H9" s="149" t="n">
        <x:v>250</x:v>
      </x:c>
      <x:c r="I9" s="150" t="n">
        <x:f>SUM(E9:H9)</x:f>
        <x:v>3900</x:v>
      </x:c>
      <x:c r="J9" s="155" t="n">
        <x:v>18</x:v>
      </x:c>
      <x:c r="K9" s="179" t="n">
        <x:f>J9*'Planning inputs'!$D$27</x:f>
        <x:v>900</x:v>
      </x:c>
      <x:c r="L9" s="180" t="n">
        <x:v>2000</x:v>
      </x:c>
      <x:c r="M9" s="179" t="n">
        <x:f>D9-SUM(F9:H9)-K9-L9</x:f>
        <x:v>2300</x:v>
      </x:c>
    </x:row>
    <x:row r="10" ht="27" customHeight="1">
      <x:c r="B10" s="141" t="str">
        <x:v>Pioneer 700-4-type side-by-side</x:v>
      </x:c>
      <x:c r="C10" s="152" t="n">
        <x:v>1</x:v>
      </x:c>
      <x:c r="D10" s="149" t="n">
        <x:v>7500</x:v>
      </x:c>
      <x:c r="E10" s="149" t="n">
        <x:f>M10</x:f>
        <x:v>2000</x:v>
      </x:c>
      <x:c r="F10" s="149" t="n">
        <x:v>2500</x:v>
      </x:c>
      <x:c r="G10" s="149" t="n">
        <x:v>600</x:v>
      </x:c>
      <x:c r="H10" s="149" t="n">
        <x:v>400</x:v>
      </x:c>
      <x:c r="I10" s="150" t="n">
        <x:f>SUM(E10:H10)</x:f>
        <x:v>5500</x:v>
      </x:c>
      <x:c r="J10" s="155" t="n">
        <x:v>24</x:v>
      </x:c>
      <x:c r="K10" s="179" t="n">
        <x:f>J10*'Planning inputs'!$D$27</x:f>
        <x:v>1200</x:v>
      </x:c>
      <x:c r="L10" s="180" t="n">
        <x:v>800</x:v>
      </x:c>
      <x:c r="M10" s="179" t="n">
        <x:f>D10-SUM(F10:H10)-K10-L10</x:f>
        <x:v>2000</x:v>
      </x:c>
    </x:row>
    <x:row r="11" ht="27" customHeight="1">
      <x:c r="B11" s="141"/>
      <x:c r="C11" s="153"/>
      <x:c r="D11" s="150"/>
      <x:c r="E11" s="150"/>
      <x:c r="F11" s="150"/>
      <x:c r="G11" s="150"/>
      <x:c r="H11" s="150"/>
      <x:c r="I11" s="150"/>
      <x:c r="J11" s="156"/>
    </x:row>
    <x:row r="12" ht="27" customHeight="1">
      <x:c r="B12" s="141"/>
      <x:c r="C12" s="153"/>
      <x:c r="D12" s="150"/>
      <x:c r="E12" s="150"/>
      <x:c r="F12" s="150"/>
      <x:c r="G12" s="150"/>
      <x:c r="H12" s="150"/>
      <x:c r="I12" s="150"/>
      <x:c r="J12" s="156"/>
    </x:row>
    <x:row r="13" ht="27" customHeight="1">
      <x:c r="B13" s="148" t="str">
        <x:v>Weighted average per flip</x:v>
      </x:c>
      <x:c r="C13" s="154" t="n">
        <x:f>SUM(C8:C10)</x:f>
        <x:v>4</x:v>
      </x:c>
      <x:c r="D13" s="151" t="n">
        <x:f>(D8*C8+D9*C9+D10*C10)/C13</x:f>
        <x:v>6825</x:v>
      </x:c>
      <x:c r="E13" s="151" t="n">
        <x:f>(E8*C8+E9*C9+E10*C10)/C13</x:f>
        <x:v>2175</x:v>
      </x:c>
      <x:c r="F13" s="151" t="n">
        <x:f>(F8*C8+F9*C9+F10*C10)/C13</x:f>
        <x:v>1425</x:v>
      </x:c>
      <x:c r="G13" s="151" t="n">
        <x:f>(G8*C8+G9*C9+G10*C10)/C13</x:f>
        <x:v>587.5</x:v>
      </x:c>
      <x:c r="H13" s="151" t="n">
        <x:f>(H8*C8+H9*C9+H10*C10)/C13</x:f>
        <x:v>312.5</x:v>
      </x:c>
      <x:c r="I13" s="151" t="n">
        <x:f>(I8*C8+I9*C9+I10*C10)/C13</x:f>
        <x:v>4500</x:v>
      </x:c>
      <x:c r="J13" s="157" t="n">
        <x:f>(J8*C8+J9*C9+J10*C10)/C13</x:f>
        <x:v>22.5</x:v>
      </x:c>
    </x:row>
    <x:row r="14" ht="27" customHeight="1">
      <x:c r="B14" s="141"/>
      <x:c r="C14" s="141"/>
      <x:c r="D14" s="141"/>
      <x:c r="E14" s="141"/>
      <x:c r="F14" s="141"/>
      <x:c r="G14" s="141"/>
      <x:c r="H14" s="141"/>
      <x:c r="I14" s="141"/>
      <x:c r="J14" s="141"/>
    </x:row>
    <x:row r="15" ht="27" customHeight="1">
      <x:c r="B15" s="141"/>
      <x:c r="C15" s="141"/>
      <x:c r="D15" s="141"/>
      <x:c r="E15" s="141"/>
      <x:c r="F15" s="141"/>
      <x:c r="G15" s="141"/>
      <x:c r="H15" s="141"/>
      <x:c r="I15" s="141"/>
      <x:c r="J15" s="141"/>
    </x:row>
    <x:row r="16" ht="57" customHeight="1">
      <x:c r="B16" s="143" t="str">
        <x:v>Levi's planning floor is four completed flips per month, not a prediction that fewer sales cannot occur. Lower holds four/month with 10% lower resale, 30% more repair spending and $200 extra holding per unit. Working grows 4 to 12; ambitious 8 to 24 over five operating years.</x:v>
      </x:c>
      <x:c r="C16" s="143"/>
      <x:c r="D16" s="143"/>
      <x:c r="E16" s="143"/>
      <x:c r="F16" s="143"/>
      <x:c r="G16" s="143"/>
      <x:c r="H16" s="143"/>
      <x:c r="I16" s="143"/>
      <x:c r="J16" s="143"/>
    </x:row>
    <x:row r="17" ht="57" customHeight="1">
      <x:c r="B17" s="143" t="str">
        <x:v>Every four-unit cycle contains two trailer-type units, one Ranger-type and one Pioneer 700-4-type. This is a future sourcing mix, not owned stock. Working sale targets total $27,300 and cash budgets $18,000 before overhead and work. The $7,500 Pioneer target requires condition above the $7,200 average-retail reference; otherwise lower the target and buying ceiling.</x:v>
      </x:c>
      <x:c r="C17" s="143"/>
      <x:c r="D17" s="143"/>
      <x:c r="E17" s="143"/>
      <x:c r="F17" s="143"/>
      <x:c r="G17" s="143"/>
      <x:c r="H17" s="143"/>
      <x:c r="I17" s="143"/>
      <x:c r="J17" s="143"/>
    </x:row>
    <x:row r="18" ht="57" customHeight="1">
      <x:c r="B18" s="143" t="str">
        <x:v>Purchase figures are target buying ceilings, not available deals or recovered paid prices. Repair, transport/fees, contingency and hours are assumptions, itemized by type. Purchase tax/fees belong in the allowance; tax treatment and individual quotes may change costs. No arbitrary five-year price inflation.</x:v>
      </x:c>
      <x:c r="C18" s="143"/>
      <x:c r="D18" s="143"/>
      <x:c r="E18" s="143"/>
      <x:c r="F18" s="143"/>
      <x:c r="G18" s="143"/>
      <x:c r="H18" s="143"/>
      <x:c r="I18" s="143"/>
      <x:c r="J18" s="143"/>
    </x:row>
    <x:row r="19" ht="57" customHeight="1">
      <x:c r="B19" s="143" t="str">
        <x:v>The older owner-reported Pioneer example was $9,000 value less $800 purchase, $1,500 trade/work and $2,000 transmission = $4,700 before omitted costs. It is not the current Pioneer, not pure cash profit, and its labor is not deducted a second time in this reconstruction. It is context only, not a model input.</x:v>
      </x:c>
      <x:c r="C19" s="143"/>
      <x:c r="D19" s="143"/>
      <x:c r="E19" s="143"/>
      <x:c r="F19" s="143"/>
      <x:c r="G19" s="143"/>
      <x:c r="H19" s="143"/>
      <x:c r="I19" s="143"/>
      <x:c r="J19" s="143"/>
    </x:row>
    <x:row r="20" ht="57" customHeight="1">
      <x:c r="B20" s="143" t="str">
        <x:v>Work is valued at $50/hour, an assumed loaded economic allowance. Paid help replaces work beyond a 140-owner-hour monthly screen. A 1.5-month cycle requires six units in progress to sustain four sales/month; stock and cash requirements grow with throughput. Neither supply nor demand is proven.</x:v>
      </x:c>
      <x:c r="C20" s="143"/>
      <x:c r="D20" s="143"/>
      <x:c r="E20" s="143"/>
      <x:c r="F20" s="143"/>
      <x:c r="G20" s="143"/>
      <x:c r="H20" s="143"/>
      <x:c r="I20" s="143"/>
      <x:c r="J20" s="143"/>
    </x:row>
    <x:row r="21" ht="27" customHeight="1">
      <x:c r="B21" s="141"/>
      <x:c r="C21" s="141"/>
      <x:c r="D21" s="141"/>
      <x:c r="E21" s="141"/>
      <x:c r="F21" s="141"/>
      <x:c r="G21" s="141"/>
      <x:c r="H21" s="141"/>
      <x:c r="I21" s="141"/>
      <x:c r="J21" s="141"/>
    </x:row>
    <x:row r="22" ht="27" customHeight="1">
      <x:c r="B22" s="141"/>
      <x:c r="C22" s="141"/>
      <x:c r="D22" s="141"/>
      <x:c r="E22" s="141"/>
      <x:c r="F22" s="141"/>
      <x:c r="G22" s="141"/>
      <x:c r="H22" s="141"/>
      <x:c r="I22" s="141"/>
      <x:c r="J22" s="141"/>
    </x:row>
    <x:row r="23" ht="52" customHeight="1">
      <x:c r="B23" s="143" t="str">
        <x:v>Maximum buy = conservative sale target - repairs - transport/fees - contingency - economic labor - minimum profit buffer. Negative means no positive-price purchase fits this plan. Repairs remain budgets until inspected/quoted.</x:v>
      </x:c>
      <x:c r="C23" s="143"/>
      <x:c r="D23" s="143"/>
      <x:c r="E23" s="143"/>
      <x:c r="F23" s="143"/>
      <x:c r="G23" s="143"/>
      <x:c r="H23" s="143"/>
      <x:c r="I23" s="143"/>
      <x:c r="J23" s="143"/>
      <x:c r="K23" s="15"/>
      <x:c r="L23" s="15"/>
      <x:c r="M23" s="15"/>
    </x:row>
    <x:row r="24" ht="27" customHeight="1">
      <x:c r="B24" s="141"/>
      <x:c r="C24" s="141"/>
      <x:c r="D24" s="141"/>
      <x:c r="E24" s="141"/>
      <x:c r="F24" s="141"/>
      <x:c r="G24" s="141"/>
      <x:c r="H24" s="141"/>
      <x:c r="I24" s="141"/>
      <x:c r="J24" s="141"/>
    </x:row>
    <x:row r="25" ht="27" customHeight="1">
      <x:c r="B25" s="141"/>
      <x:c r="C25" s="141"/>
      <x:c r="D25" s="141"/>
      <x:c r="E25" s="141"/>
      <x:c r="F25" s="141"/>
      <x:c r="G25" s="141"/>
      <x:c r="H25" s="141"/>
      <x:c r="I25" s="141"/>
      <x:c r="J25" s="141"/>
    </x:row>
    <x:row r="26" ht="27" customHeight="1">
      <x:c r="B26" s="141"/>
      <x:c r="C26" s="141"/>
      <x:c r="D26" s="141"/>
      <x:c r="E26" s="141"/>
      <x:c r="F26" s="141"/>
      <x:c r="G26" s="141"/>
      <x:c r="H26" s="141"/>
      <x:c r="I26" s="141"/>
      <x:c r="J26" s="141"/>
    </x:row>
    <x:row r="27" ht="27" customHeight="1">
      <x:c r="B27" s="141"/>
      <x:c r="C27" s="141"/>
      <x:c r="D27" s="141"/>
      <x:c r="E27" s="141"/>
      <x:c r="F27" s="141"/>
      <x:c r="G27" s="141"/>
      <x:c r="H27" s="141"/>
      <x:c r="I27" s="141"/>
      <x:c r="J27" s="141"/>
    </x:row>
    <x:row r="28" ht="27" customHeight="1">
      <x:c r="B28" s="141"/>
      <x:c r="C28" s="141"/>
      <x:c r="D28" s="141"/>
      <x:c r="E28" s="141"/>
      <x:c r="F28" s="141"/>
      <x:c r="G28" s="141"/>
      <x:c r="H28" s="141"/>
      <x:c r="I28" s="141"/>
      <x:c r="J28" s="141"/>
    </x:row>
    <x:row r="29" ht="27" customHeight="1">
      <x:c r="B29" s="141"/>
      <x:c r="C29" s="141"/>
      <x:c r="D29" s="141"/>
      <x:c r="E29" s="141"/>
      <x:c r="F29" s="141"/>
      <x:c r="G29" s="141"/>
      <x:c r="H29" s="141"/>
      <x:c r="I29" s="141"/>
      <x:c r="J29" s="141"/>
    </x:row>
    <x:row r="30" ht="27" customHeight="1">
      <x:c r="B30" s="141"/>
      <x:c r="C30" s="141"/>
      <x:c r="D30" s="141"/>
      <x:c r="E30" s="141"/>
      <x:c r="F30" s="141"/>
      <x:c r="G30" s="141"/>
      <x:c r="H30" s="141"/>
      <x:c r="I30" s="141"/>
      <x:c r="J30" s="141"/>
    </x:row>
    <x:row r="31" ht="27" customHeight="1">
      <x:c r="B31" s="141"/>
      <x:c r="C31" s="141"/>
      <x:c r="D31" s="141"/>
      <x:c r="E31" s="141"/>
      <x:c r="F31" s="141"/>
      <x:c r="G31" s="141"/>
      <x:c r="H31" s="141"/>
      <x:c r="I31" s="141"/>
      <x:c r="J31" s="141"/>
    </x:row>
    <x:row r="32" ht="27" customHeight="1">
      <x:c r="B32" s="141"/>
      <x:c r="C32" s="141"/>
      <x:c r="D32" s="141"/>
      <x:c r="E32" s="141"/>
      <x:c r="F32" s="141"/>
      <x:c r="G32" s="141"/>
      <x:c r="H32" s="141"/>
      <x:c r="I32" s="141"/>
      <x:c r="J32" s="141"/>
    </x:row>
  </x:sheetData>
  <x:mergeCells>
    <x:mergeCell ref="B4:J4"/>
    <x:mergeCell ref="B16:J16"/>
    <x:mergeCell ref="B17:J17"/>
    <x:mergeCell ref="B18:J18"/>
    <x:mergeCell ref="B19:J19"/>
    <x:mergeCell ref="B20:J20"/>
    <x:mergeCell ref="B23:M23"/>
  </x:mergeCells>
  <x:pageMargins left="0.7" right="0.7" top="0.75" bottom="0.75" header="0.3" footer="0.3"/>
</x:worksheet>
</file>